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drawings/drawing1.xml" ContentType="application/vnd.openxmlformats-officedocument.drawing+xml"/>
  <Override PartName="/xl/customProperty2.bin" ContentType="application/vnd.openxmlformats-officedocument.spreadsheetml.customProperty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329"/>
  <workbookPr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Data\Dropbox\Dokumenty\Práce M\2019-08 RW Kalkulacka ETICS\"/>
    </mc:Choice>
  </mc:AlternateContent>
  <workbookProtection workbookAlgorithmName="SHA-512" workbookHashValue="VtLxhdipfL6I1mXodOZulz++raoo2ikv381Itotaaph/gNYwgb1s2apzcO3R7ZssYM1QEY0LJkDhg34UyROymw==" workbookSaltValue="13DzdoutfuOf658aDrZOjg==" workbookSpinCount="100000" lockStructure="1"/>
  <bookViews>
    <workbookView xWindow="0" yWindow="0" windowWidth="28800" windowHeight="12270"/>
  </bookViews>
  <sheets>
    <sheet name="kalkulačka" sheetId="4" r:id="rId1"/>
    <sheet name="materiály" sheetId="1" state="hidden" r:id="rId2"/>
  </sheets>
  <definedNames>
    <definedName name="izolant">materiály!$J$2:$J$5</definedName>
    <definedName name="izolanty">materiály!$J$2:$N$5</definedName>
    <definedName name="materiál">materiály!$A$2:$A$46</definedName>
    <definedName name="materiály">materiály!$A$2:$H$46</definedName>
    <definedName name="_xlnm.Print_Area" localSheetId="0">kalkulačka!$B$1:$N$19</definedName>
    <definedName name="typkonstrukce">kalkulačka!$I$6</definedName>
  </definedNames>
  <calcPr calcId="171027"/>
</workbook>
</file>

<file path=xl/calcChain.xml><?xml version="1.0" encoding="utf-8"?>
<calcChain xmlns="http://schemas.openxmlformats.org/spreadsheetml/2006/main">
  <c r="L21" i="4" l="1"/>
  <c r="H8" i="1"/>
  <c r="H9" i="1"/>
  <c r="H10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7" i="1"/>
  <c r="H6" i="1"/>
  <c r="H5" i="1"/>
  <c r="H4" i="1"/>
  <c r="H3" i="1"/>
  <c r="H2" i="1"/>
  <c r="A39" i="1" l="1"/>
  <c r="A38" i="1"/>
  <c r="A37" i="1"/>
  <c r="A36" i="1"/>
  <c r="A35" i="1"/>
  <c r="A33" i="1"/>
  <c r="A34" i="1" s="1"/>
  <c r="A30" i="1"/>
  <c r="A31" i="1" s="1"/>
  <c r="A32" i="1" s="1"/>
  <c r="A22" i="1"/>
  <c r="A23" i="1" s="1"/>
  <c r="A24" i="1" s="1"/>
  <c r="A16" i="1"/>
  <c r="A19" i="1"/>
  <c r="A20" i="1" s="1"/>
  <c r="A21" i="1" s="1"/>
  <c r="E58" i="1"/>
  <c r="F58" i="1" s="1"/>
  <c r="E57" i="1"/>
  <c r="F57" i="1" s="1"/>
  <c r="E56" i="1"/>
  <c r="E55" i="1"/>
  <c r="E50" i="1"/>
  <c r="F50" i="1" s="1"/>
  <c r="E49" i="1"/>
  <c r="F49" i="1" s="1"/>
  <c r="E48" i="1"/>
  <c r="E42" i="1"/>
  <c r="F42" i="1" s="1"/>
  <c r="E41" i="1"/>
  <c r="F41" i="1" s="1"/>
  <c r="E40" i="1"/>
  <c r="F40" i="1" s="1"/>
  <c r="E39" i="1"/>
  <c r="F39" i="1" s="1"/>
  <c r="E24" i="1"/>
  <c r="F24" i="1" s="1"/>
  <c r="E23" i="1"/>
  <c r="F23" i="1" s="1"/>
  <c r="E22" i="1"/>
  <c r="F22" i="1" s="1"/>
  <c r="E18" i="1"/>
  <c r="E17" i="1"/>
  <c r="E16" i="1"/>
  <c r="E10" i="1"/>
  <c r="F10" i="1" s="1"/>
  <c r="E9" i="1"/>
  <c r="E8" i="1"/>
  <c r="F8" i="1" s="1"/>
  <c r="E7" i="1"/>
  <c r="F7" i="1" s="1"/>
  <c r="E6" i="1"/>
  <c r="F6" i="1" s="1"/>
  <c r="E5" i="1"/>
  <c r="F5" i="1" s="1"/>
  <c r="E4" i="1"/>
  <c r="F4" i="1" s="1"/>
  <c r="E3" i="1"/>
  <c r="F3" i="1" s="1"/>
  <c r="E2" i="1"/>
  <c r="F2" i="1" s="1"/>
  <c r="A43" i="1"/>
  <c r="A2" i="1"/>
  <c r="A6" i="1"/>
  <c r="A7" i="1" s="1"/>
  <c r="A8" i="1"/>
  <c r="A9" i="1" s="1"/>
  <c r="A10" i="1" s="1"/>
  <c r="A11" i="1"/>
  <c r="A12" i="1" s="1"/>
  <c r="A13" i="1" s="1"/>
  <c r="A14" i="1" s="1"/>
  <c r="A15" i="1" s="1"/>
  <c r="A17" i="1"/>
  <c r="A18" i="1" s="1"/>
  <c r="A25" i="1"/>
  <c r="A26" i="1" s="1"/>
  <c r="A27" i="1" s="1"/>
  <c r="A28" i="1" s="1"/>
  <c r="A29" i="1" s="1"/>
  <c r="A40" i="1"/>
  <c r="A41" i="1" s="1"/>
  <c r="A42" i="1" s="1"/>
  <c r="A44" i="1"/>
  <c r="A45" i="1"/>
  <c r="M5" i="1"/>
  <c r="M4" i="1"/>
  <c r="M3" i="1"/>
  <c r="M2" i="1"/>
  <c r="H6" i="4"/>
  <c r="C18" i="4"/>
  <c r="M9" i="1"/>
  <c r="M10" i="1"/>
  <c r="M11" i="1"/>
  <c r="J12" i="4"/>
  <c r="J13" i="4" s="1"/>
  <c r="H12" i="4"/>
  <c r="H13" i="4" s="1"/>
  <c r="F12" i="4"/>
  <c r="F13" i="4" s="1"/>
  <c r="D12" i="4"/>
  <c r="D13" i="4" s="1"/>
  <c r="F51" i="1"/>
  <c r="F52" i="1"/>
  <c r="F53" i="1"/>
  <c r="F54" i="1"/>
  <c r="F43" i="1"/>
  <c r="F44" i="1"/>
  <c r="F45" i="1"/>
  <c r="F9" i="1"/>
  <c r="F55" i="1"/>
  <c r="F56" i="1"/>
  <c r="F48" i="1"/>
  <c r="A3" i="1" l="1"/>
  <c r="A4" i="1" s="1"/>
  <c r="A5" i="1" s="1"/>
  <c r="F7" i="4"/>
  <c r="D14" i="4" s="1"/>
  <c r="D21" i="4" s="1"/>
  <c r="J14" i="4" l="1"/>
  <c r="J21" i="4" s="1"/>
  <c r="H14" i="4"/>
  <c r="H21" i="4" s="1"/>
  <c r="F8" i="4"/>
  <c r="L13" i="4"/>
  <c r="L12" i="4" s="1"/>
  <c r="F14" i="4"/>
  <c r="F21" i="4" s="1"/>
</calcChain>
</file>

<file path=xl/comments1.xml><?xml version="1.0" encoding="utf-8"?>
<comments xmlns="http://schemas.openxmlformats.org/spreadsheetml/2006/main">
  <authors>
    <author>Martin Matějka</author>
  </authors>
  <commentList>
    <comment ref="D1" authorId="0" shapeId="0">
      <text>
        <r>
          <rPr>
            <sz val="8"/>
            <color indexed="81"/>
            <rFont val="Tahoma"/>
            <family val="2"/>
            <charset val="238"/>
          </rPr>
          <t>součinitel tepelné vodivosti Lambda XX</t>
        </r>
      </text>
    </comment>
    <comment ref="E1" authorId="0" shapeId="0">
      <text>
        <r>
          <rPr>
            <sz val="8"/>
            <color indexed="81"/>
            <rFont val="Tahoma"/>
            <family val="2"/>
            <charset val="238"/>
          </rPr>
          <t>Tepelný odpor stávající konstrukce</t>
        </r>
      </text>
    </comment>
    <comment ref="F1" authorId="0" shapeId="0">
      <text>
        <r>
          <rPr>
            <sz val="8"/>
            <color indexed="81"/>
            <rFont val="Tahoma"/>
            <family val="2"/>
            <charset val="238"/>
          </rPr>
          <t>součinitel přestupu tepla stávající konstrukce</t>
        </r>
      </text>
    </comment>
    <comment ref="N2" authorId="0" shapeId="0">
      <text>
        <r>
          <rPr>
            <sz val="8"/>
            <color indexed="81"/>
            <rFont val="Tahoma"/>
            <family val="2"/>
          </rPr>
          <t>Průměrná objemovka
(85-93 kg/m³)</t>
        </r>
      </text>
    </comment>
    <comment ref="N5" authorId="0" shapeId="0">
      <text>
        <r>
          <rPr>
            <sz val="8"/>
            <color indexed="81"/>
            <rFont val="Tahoma"/>
            <family val="2"/>
          </rPr>
          <t>podle SAPu 78 kg/m³</t>
        </r>
      </text>
    </comment>
    <comment ref="B16" authorId="0" shapeId="0">
      <text>
        <r>
          <rPr>
            <b/>
            <sz val="8"/>
            <color indexed="81"/>
            <rFont val="Tahoma"/>
            <family val="2"/>
          </rPr>
          <t>původní název:</t>
        </r>
        <r>
          <rPr>
            <sz val="8"/>
            <color indexed="81"/>
            <rFont val="Tahoma"/>
            <family val="2"/>
          </rPr>
          <t xml:space="preserve">
Porobeton (plynosilikát) - po roce 1989</t>
        </r>
      </text>
    </comment>
    <comment ref="B25" authorId="0" shapeId="0">
      <text>
        <r>
          <rPr>
            <b/>
            <sz val="8"/>
            <color indexed="81"/>
            <rFont val="Tahoma"/>
            <family val="2"/>
          </rPr>
          <t>původní název:</t>
        </r>
        <r>
          <rPr>
            <sz val="8"/>
            <color indexed="81"/>
            <rFont val="Tahoma"/>
            <family val="2"/>
          </rPr>
          <t xml:space="preserve">
Porotherm 44  P+D</t>
        </r>
      </text>
    </comment>
  </commentList>
</comments>
</file>

<file path=xl/sharedStrings.xml><?xml version="1.0" encoding="utf-8"?>
<sst xmlns="http://schemas.openxmlformats.org/spreadsheetml/2006/main" count="132" uniqueCount="75">
  <si>
    <t>λ</t>
  </si>
  <si>
    <t>R</t>
  </si>
  <si>
    <t>U</t>
  </si>
  <si>
    <t>Keramická tvárnice CD Týn</t>
  </si>
  <si>
    <t>Porotherm 38 CB</t>
  </si>
  <si>
    <t>Porotherm 45 CB</t>
  </si>
  <si>
    <t>ND</t>
  </si>
  <si>
    <t>Kámen (žula, čedič)</t>
  </si>
  <si>
    <t>Materiál obvodové stěny</t>
  </si>
  <si>
    <t>Keramická tvárnice CD INA A</t>
  </si>
  <si>
    <t>index</t>
  </si>
  <si>
    <t/>
  </si>
  <si>
    <t>2500-2880</t>
  </si>
  <si>
    <t>Materiál obvodové stěny:</t>
  </si>
  <si>
    <t>Porotherm 36,5  P+D</t>
  </si>
  <si>
    <t>Porotherm 40  P+D</t>
  </si>
  <si>
    <t>Izolační materiál:</t>
  </si>
  <si>
    <t>(kg/m³)</t>
  </si>
  <si>
    <t>Tepelný odpor R:</t>
  </si>
  <si>
    <t>Součinitel prostupu tepla U:</t>
  </si>
  <si>
    <t>m²K/W</t>
  </si>
  <si>
    <t>W/m²K</t>
  </si>
  <si>
    <t>jiný (doplňte tepelný odpor nebo součinitel U)</t>
  </si>
  <si>
    <t>volitelná tloušťka</t>
  </si>
  <si>
    <t>tloušťka izolačního materiálu</t>
  </si>
  <si>
    <t>Typ konstrukce:</t>
  </si>
  <si>
    <t>těžká</t>
  </si>
  <si>
    <t>tepelný odpor R</t>
  </si>
  <si>
    <t>Frontrock Max E</t>
  </si>
  <si>
    <t>doporučené pro pasivní dům</t>
  </si>
  <si>
    <r>
      <t>hodnoty</t>
    </r>
    <r>
      <rPr>
        <sz val="8"/>
        <color indexed="23"/>
        <rFont val="Tahoma"/>
        <family val="2"/>
        <charset val="238"/>
      </rPr>
      <t xml:space="preserve"> </t>
    </r>
    <r>
      <rPr>
        <sz val="7"/>
        <color indexed="23"/>
        <rFont val="Tahoma"/>
        <family val="2"/>
        <charset val="238"/>
      </rPr>
      <t>(dle ČSN 73 0540-2)</t>
    </r>
  </si>
  <si>
    <t>součinitel prostupu tepla U</t>
  </si>
  <si>
    <r>
      <t xml:space="preserve">   doporučené</t>
    </r>
    <r>
      <rPr>
        <sz val="8"/>
        <color indexed="55"/>
        <rFont val="Tahoma"/>
        <family val="2"/>
        <charset val="238"/>
      </rPr>
      <t/>
    </r>
  </si>
  <si>
    <t>požadované</t>
  </si>
  <si>
    <r>
      <t>U</t>
    </r>
    <r>
      <rPr>
        <sz val="6"/>
        <rFont val="Tahoma"/>
        <family val="2"/>
        <charset val="238"/>
      </rPr>
      <t>N,20</t>
    </r>
  </si>
  <si>
    <r>
      <t>U</t>
    </r>
    <r>
      <rPr>
        <sz val="6"/>
        <rFont val="Tahoma"/>
        <family val="2"/>
        <charset val="238"/>
      </rPr>
      <t>rec,20</t>
    </r>
  </si>
  <si>
    <r>
      <t>U</t>
    </r>
    <r>
      <rPr>
        <sz val="6"/>
        <rFont val="Tahoma"/>
        <family val="2"/>
        <charset val="238"/>
      </rPr>
      <t>pas</t>
    </r>
    <r>
      <rPr>
        <sz val="1"/>
        <rFont val="Tahoma"/>
        <family val="2"/>
        <charset val="238"/>
      </rPr>
      <t xml:space="preserve"> </t>
    </r>
    <r>
      <rPr>
        <sz val="6"/>
        <rFont val="Tahoma"/>
        <family val="2"/>
        <charset val="238"/>
      </rPr>
      <t>min,20</t>
    </r>
  </si>
  <si>
    <r>
      <t>U</t>
    </r>
    <r>
      <rPr>
        <sz val="6"/>
        <rFont val="Tahoma"/>
        <family val="2"/>
        <charset val="238"/>
      </rPr>
      <t>pas</t>
    </r>
    <r>
      <rPr>
        <sz val="1"/>
        <rFont val="Tahoma"/>
        <family val="2"/>
        <charset val="238"/>
      </rPr>
      <t xml:space="preserve"> </t>
    </r>
    <r>
      <rPr>
        <sz val="6"/>
        <rFont val="Tahoma"/>
        <family val="2"/>
        <charset val="238"/>
      </rPr>
      <t>max,20</t>
    </r>
  </si>
  <si>
    <r>
      <t>U</t>
    </r>
    <r>
      <rPr>
        <sz val="6"/>
        <rFont val="Tahoma"/>
        <family val="2"/>
        <charset val="238"/>
      </rPr>
      <t>20</t>
    </r>
  </si>
  <si>
    <r>
      <t xml:space="preserve"> </t>
    </r>
    <r>
      <rPr>
        <sz val="7"/>
        <color indexed="22"/>
        <rFont val="Tahoma"/>
        <family val="2"/>
        <charset val="238"/>
      </rPr>
      <t>podle ČSN 73 0540-2, říjen 2011</t>
    </r>
  </si>
  <si>
    <t>Poznámka: Tato pomůcka slouží ke stanovení orientační tloušťky izolace pro zateplení fasády.</t>
  </si>
  <si>
    <r>
      <t>VÝPOČET</t>
    </r>
    <r>
      <rPr>
        <b/>
        <sz val="10"/>
        <color indexed="9"/>
        <rFont val="Tahoma"/>
        <family val="2"/>
        <charset val="238"/>
      </rPr>
      <t xml:space="preserve"> </t>
    </r>
    <r>
      <rPr>
        <b/>
        <sz val="13.5"/>
        <color indexed="9"/>
        <rFont val="Tahoma"/>
        <family val="2"/>
        <charset val="238"/>
      </rPr>
      <t>TLOUŠŤKY</t>
    </r>
    <r>
      <rPr>
        <b/>
        <sz val="10"/>
        <color indexed="9"/>
        <rFont val="Tahoma"/>
        <family val="2"/>
        <charset val="238"/>
      </rPr>
      <t xml:space="preserve"> </t>
    </r>
    <r>
      <rPr>
        <b/>
        <sz val="13.5"/>
        <color indexed="9"/>
        <rFont val="Tahoma"/>
        <family val="2"/>
        <charset val="238"/>
      </rPr>
      <t>TEPELNÉ</t>
    </r>
    <r>
      <rPr>
        <b/>
        <sz val="10"/>
        <color indexed="9"/>
        <rFont val="Tahoma"/>
        <family val="2"/>
        <charset val="238"/>
      </rPr>
      <t xml:space="preserve"> </t>
    </r>
    <r>
      <rPr>
        <b/>
        <sz val="13.5"/>
        <color indexed="9"/>
        <rFont val="Tahoma"/>
        <family val="2"/>
        <charset val="238"/>
      </rPr>
      <t>IZOLACE</t>
    </r>
    <r>
      <rPr>
        <b/>
        <sz val="10"/>
        <color indexed="9"/>
        <rFont val="Tahoma"/>
        <family val="2"/>
        <charset val="238"/>
      </rPr>
      <t xml:space="preserve"> </t>
    </r>
    <r>
      <rPr>
        <b/>
        <sz val="13.5"/>
        <color indexed="9"/>
        <rFont val="Tahoma"/>
        <family val="2"/>
        <charset val="238"/>
      </rPr>
      <t>KONTAKTNÍCH</t>
    </r>
    <r>
      <rPr>
        <b/>
        <sz val="10"/>
        <color indexed="9"/>
        <rFont val="Tahoma"/>
        <family val="2"/>
        <charset val="238"/>
      </rPr>
      <t xml:space="preserve"> </t>
    </r>
    <r>
      <rPr>
        <b/>
        <sz val="13.5"/>
        <color indexed="9"/>
        <rFont val="Tahoma"/>
        <family val="2"/>
        <charset val="238"/>
      </rPr>
      <t>FASÁD</t>
    </r>
    <r>
      <rPr>
        <sz val="10"/>
        <color indexed="9"/>
        <rFont val="Tahoma"/>
        <family val="2"/>
        <charset val="238"/>
      </rPr>
      <t xml:space="preserve"> </t>
    </r>
    <r>
      <rPr>
        <sz val="13.5"/>
        <color indexed="9"/>
        <rFont val="Tahoma"/>
        <family val="2"/>
        <charset val="238"/>
      </rPr>
      <t>(ETICS)</t>
    </r>
  </si>
  <si>
    <t>Fasrock</t>
  </si>
  <si>
    <t>Fasrock L</t>
  </si>
  <si>
    <t>λ korekce</t>
  </si>
  <si>
    <t>λ výchozí</t>
  </si>
  <si>
    <t>Izolant</t>
  </si>
  <si>
    <t>FRONTROCK SUPER</t>
  </si>
  <si>
    <t>FRONTROCK PLUS</t>
  </si>
  <si>
    <t>FRONTROCK S</t>
  </si>
  <si>
    <t>FRONTROCK L</t>
  </si>
  <si>
    <t>Panelová bytovka do 1978</t>
  </si>
  <si>
    <t>Panelová bytovka do 1993</t>
  </si>
  <si>
    <t>Panelová bytovka do 2002</t>
  </si>
  <si>
    <t>Cihla plná pálená</t>
  </si>
  <si>
    <t>d (mm)</t>
  </si>
  <si>
    <t>Cihla děrovaná pálená CDm</t>
  </si>
  <si>
    <t>Cihelné bloky P+D</t>
  </si>
  <si>
    <t>Cihla vápenopísková</t>
  </si>
  <si>
    <t>Železobeton, beton</t>
  </si>
  <si>
    <t>Cihelné bloky izolační</t>
  </si>
  <si>
    <t>vyřazené materiály:</t>
  </si>
  <si>
    <t>Pórobeton (plynosilikát) do 1989</t>
  </si>
  <si>
    <t>Škvárobetonové tvárnice</t>
  </si>
  <si>
    <t>mm</t>
  </si>
  <si>
    <t>Cihla plná pálená – 300 mm</t>
  </si>
  <si>
    <t>Pórobeton P2 - 400</t>
  </si>
  <si>
    <t>Pórobeton P4 - 550</t>
  </si>
  <si>
    <t>Liatherm 2 MPa</t>
  </si>
  <si>
    <t>Liatherm 4 MPa</t>
  </si>
  <si>
    <t>Liapor SL 4 MPa</t>
  </si>
  <si>
    <t>Liapor SL 2 MPa</t>
  </si>
  <si>
    <t>kg/m³</t>
  </si>
  <si>
    <t>kg/m²</t>
  </si>
  <si>
    <t>orientační plošná hmotnost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</si>
</sst>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0.000"/>
    <numFmt numFmtId="165" formatCode="&quot; &quot;@"/>
    <numFmt numFmtId="166" formatCode="0&quot; &quot;"/>
    <numFmt numFmtId="167" formatCode="0.000&quot; W/mK&quot;"/>
    <numFmt numFmtId="168" formatCode="0.000&quot; W/m²K&quot;"/>
    <numFmt numFmtId="169" formatCode="0.000&quot; m²K/W&quot;"/>
  </numFmts>
  <fonts count="32">
    <font>
      <sz val="8"/>
      <name val="Tahoma"/>
      <charset val="238"/>
    </font>
    <font>
      <b/>
      <sz val="8"/>
      <name val="Tahoma"/>
      <family val="2"/>
      <charset val="238"/>
    </font>
    <font>
      <b/>
      <sz val="8"/>
      <name val="Tahoma"/>
      <family val="2"/>
      <charset val="238"/>
    </font>
    <font>
      <sz val="8"/>
      <name val="Tahoma"/>
      <family val="2"/>
      <charset val="238"/>
    </font>
    <font>
      <sz val="8"/>
      <color indexed="81"/>
      <name val="Tahoma"/>
      <family val="2"/>
      <charset val="238"/>
    </font>
    <font>
      <sz val="8"/>
      <color indexed="22"/>
      <name val="Tahoma"/>
      <family val="2"/>
      <charset val="238"/>
    </font>
    <font>
      <sz val="8"/>
      <color indexed="23"/>
      <name val="Tahoma"/>
      <family val="2"/>
      <charset val="238"/>
    </font>
    <font>
      <sz val="8"/>
      <name val="Tahoma"/>
      <family val="2"/>
      <charset val="238"/>
    </font>
    <font>
      <b/>
      <sz val="8"/>
      <color indexed="63"/>
      <name val="Tahoma"/>
      <family val="2"/>
      <charset val="238"/>
    </font>
    <font>
      <sz val="8"/>
      <color indexed="23"/>
      <name val="Tahoma"/>
      <family val="2"/>
      <charset val="238"/>
    </font>
    <font>
      <sz val="7"/>
      <color indexed="31"/>
      <name val="Tahoma"/>
      <family val="2"/>
      <charset val="238"/>
    </font>
    <font>
      <sz val="7"/>
      <color indexed="23"/>
      <name val="Tahoma"/>
      <family val="2"/>
      <charset val="238"/>
    </font>
    <font>
      <sz val="8"/>
      <color indexed="55"/>
      <name val="Tahoma"/>
      <family val="2"/>
      <charset val="238"/>
    </font>
    <font>
      <b/>
      <sz val="13.5"/>
      <color indexed="9"/>
      <name val="Tahoma"/>
      <family val="2"/>
      <charset val="238"/>
    </font>
    <font>
      <b/>
      <sz val="10"/>
      <color indexed="9"/>
      <name val="Tahoma"/>
      <family val="2"/>
      <charset val="238"/>
    </font>
    <font>
      <sz val="6"/>
      <name val="Tahoma"/>
      <family val="2"/>
      <charset val="238"/>
    </font>
    <font>
      <sz val="1"/>
      <name val="Tahoma"/>
      <family val="2"/>
      <charset val="238"/>
    </font>
    <font>
      <sz val="4"/>
      <color indexed="22"/>
      <name val="Tahoma"/>
      <family val="2"/>
      <charset val="238"/>
    </font>
    <font>
      <sz val="7"/>
      <color indexed="22"/>
      <name val="Tahoma"/>
      <family val="2"/>
      <charset val="238"/>
    </font>
    <font>
      <sz val="8"/>
      <color indexed="22"/>
      <name val="Tahoma"/>
      <family val="2"/>
      <charset val="238"/>
    </font>
    <font>
      <sz val="13.5"/>
      <color indexed="9"/>
      <name val="Tahoma"/>
      <family val="2"/>
      <charset val="238"/>
    </font>
    <font>
      <sz val="10"/>
      <color indexed="9"/>
      <name val="Tahoma"/>
      <family val="2"/>
      <charset val="238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trike/>
      <sz val="8"/>
      <color rgb="FF808080"/>
      <name val="Tahoma"/>
      <family val="2"/>
    </font>
    <font>
      <strike/>
      <sz val="8"/>
      <color rgb="FF808080"/>
      <name val="Tahoma"/>
      <family val="2"/>
      <charset val="238"/>
    </font>
    <font>
      <b/>
      <sz val="8"/>
      <color rgb="FF808080"/>
      <name val="Tahoma"/>
      <family val="2"/>
    </font>
    <font>
      <sz val="8"/>
      <color rgb="FF808080"/>
      <name val="Tahoma"/>
      <family val="2"/>
    </font>
    <font>
      <b/>
      <sz val="8"/>
      <color rgb="FF808080"/>
      <name val="Tahoma"/>
      <family val="2"/>
      <charset val="238"/>
    </font>
    <font>
      <sz val="8"/>
      <color rgb="FF808080"/>
      <name val="Tahoma"/>
      <family val="2"/>
      <charset val="238"/>
    </font>
    <font>
      <sz val="8"/>
      <name val="Tahoma"/>
      <family val="2"/>
    </font>
    <font>
      <sz val="8"/>
      <color rgb="FFC0C0C0"/>
      <name val="Tahoma"/>
      <family val="2"/>
    </font>
  </fonts>
  <fills count="10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38">
    <border>
      <left/>
      <right/>
      <top/>
      <bottom/>
      <diagonal/>
    </border>
    <border>
      <left style="thin">
        <color indexed="22"/>
      </left>
      <right style="thin">
        <color indexed="23"/>
      </right>
      <top/>
      <bottom style="thin">
        <color indexed="23"/>
      </bottom>
      <diagonal/>
    </border>
    <border>
      <left style="thin">
        <color indexed="22"/>
      </left>
      <right style="thin">
        <color indexed="23"/>
      </right>
      <top style="thin">
        <color indexed="22"/>
      </top>
      <bottom style="thin">
        <color indexed="23"/>
      </bottom>
      <diagonal/>
    </border>
    <border>
      <left/>
      <right style="thin">
        <color indexed="22"/>
      </right>
      <top/>
      <bottom/>
      <diagonal/>
    </border>
    <border>
      <left/>
      <right/>
      <top/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thin">
        <color indexed="23"/>
      </left>
      <right/>
      <top/>
      <bottom/>
      <diagonal/>
    </border>
    <border>
      <left style="thin">
        <color indexed="23"/>
      </left>
      <right/>
      <top/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64"/>
      </bottom>
      <diagonal/>
    </border>
    <border>
      <left/>
      <right style="thin">
        <color indexed="22"/>
      </right>
      <top style="thin">
        <color indexed="22"/>
      </top>
      <bottom style="thin">
        <color indexed="64"/>
      </bottom>
      <diagonal/>
    </border>
    <border>
      <left/>
      <right/>
      <top style="thin">
        <color indexed="22"/>
      </top>
      <bottom style="thin">
        <color indexed="64"/>
      </bottom>
      <diagonal/>
    </border>
    <border>
      <left/>
      <right style="thin">
        <color indexed="64"/>
      </right>
      <top style="thin">
        <color indexed="22"/>
      </top>
      <bottom style="thin">
        <color indexed="64"/>
      </bottom>
      <diagonal/>
    </border>
    <border>
      <left style="thin">
        <color indexed="64"/>
      </left>
      <right style="thin">
        <color indexed="55"/>
      </right>
      <top style="thin">
        <color indexed="22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64"/>
      </bottom>
      <diagonal/>
    </border>
    <border>
      <left style="thin">
        <color indexed="23"/>
      </left>
      <right/>
      <top style="thin">
        <color indexed="23"/>
      </top>
      <bottom/>
      <diagonal/>
    </border>
    <border>
      <left/>
      <right/>
      <top style="thin">
        <color indexed="23"/>
      </top>
      <bottom/>
      <diagonal/>
    </border>
    <border>
      <left/>
      <right style="thin">
        <color indexed="22"/>
      </right>
      <top style="thin">
        <color indexed="23"/>
      </top>
      <bottom/>
      <diagonal/>
    </border>
    <border>
      <left/>
      <right style="thin">
        <color indexed="22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22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55"/>
      </bottom>
      <diagonal/>
    </border>
    <border>
      <left/>
      <right style="thin">
        <color indexed="22"/>
      </right>
      <top/>
      <bottom style="thin">
        <color indexed="55"/>
      </bottom>
      <diagonal/>
    </border>
    <border>
      <left style="thin">
        <color indexed="22"/>
      </left>
      <right style="thin">
        <color indexed="64"/>
      </right>
      <top/>
      <bottom style="thin">
        <color indexed="55"/>
      </bottom>
      <diagonal/>
    </border>
    <border>
      <left/>
      <right style="thin">
        <color indexed="64"/>
      </right>
      <top/>
      <bottom style="thin">
        <color indexed="55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55"/>
      </right>
      <top style="thin">
        <color indexed="55"/>
      </top>
      <bottom/>
      <diagonal/>
    </border>
    <border>
      <left/>
      <right/>
      <top style="thin">
        <color indexed="55"/>
      </top>
      <bottom/>
      <diagonal/>
    </border>
    <border>
      <left/>
      <right style="thin">
        <color indexed="22"/>
      </right>
      <top style="thin">
        <color indexed="55"/>
      </top>
      <bottom/>
      <diagonal/>
    </border>
    <border>
      <left style="thin">
        <color indexed="22"/>
      </left>
      <right/>
      <top style="thin">
        <color indexed="55"/>
      </top>
      <bottom/>
      <diagonal/>
    </border>
    <border>
      <left/>
      <right style="thin">
        <color indexed="64"/>
      </right>
      <top style="thin">
        <color indexed="55"/>
      </top>
      <bottom/>
      <diagonal/>
    </border>
    <border>
      <left style="thin">
        <color indexed="64"/>
      </left>
      <right style="thin">
        <color indexed="55"/>
      </right>
      <top/>
      <bottom style="thin">
        <color indexed="22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/>
      <right style="thin">
        <color indexed="64"/>
      </right>
      <top/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3"/>
      </bottom>
      <diagonal/>
    </border>
    <border>
      <left/>
      <right style="thin">
        <color indexed="23"/>
      </right>
      <top style="thin">
        <color indexed="22"/>
      </top>
      <bottom style="thin">
        <color indexed="23"/>
      </bottom>
      <diagonal/>
    </border>
    <border>
      <left style="thin">
        <color indexed="64"/>
      </left>
      <right style="thin">
        <color indexed="55"/>
      </right>
      <top style="thin">
        <color indexed="64"/>
      </top>
      <bottom/>
      <diagonal/>
    </border>
    <border>
      <left style="thin">
        <color indexed="64"/>
      </left>
      <right style="thin">
        <color indexed="55"/>
      </right>
      <top/>
      <bottom style="thin">
        <color indexed="55"/>
      </bottom>
      <diagonal/>
    </border>
  </borders>
  <cellStyleXfs count="1">
    <xf numFmtId="0" fontId="0" fillId="0" borderId="0"/>
  </cellStyleXfs>
  <cellXfs count="94">
    <xf numFmtId="0" fontId="0" fillId="0" borderId="0" xfId="0"/>
    <xf numFmtId="0" fontId="1" fillId="0" borderId="0" xfId="0" applyFont="1" applyFill="1"/>
    <xf numFmtId="0" fontId="2" fillId="0" borderId="0" xfId="0" applyFont="1" applyFill="1"/>
    <xf numFmtId="0" fontId="3" fillId="0" borderId="0" xfId="0" applyFont="1"/>
    <xf numFmtId="0" fontId="5" fillId="0" borderId="0" xfId="0" applyFont="1"/>
    <xf numFmtId="0" fontId="3" fillId="0" borderId="0" xfId="0" applyFont="1" applyAlignment="1">
      <alignment horizontal="right"/>
    </xf>
    <xf numFmtId="0" fontId="0" fillId="2" borderId="0" xfId="0" applyFill="1" applyBorder="1"/>
    <xf numFmtId="2" fontId="0" fillId="3" borderId="1" xfId="0" applyNumberFormat="1" applyFill="1" applyBorder="1" applyAlignment="1">
      <alignment vertical="center"/>
    </xf>
    <xf numFmtId="2" fontId="0" fillId="3" borderId="2" xfId="0" applyNumberFormat="1" applyFill="1" applyBorder="1" applyAlignment="1">
      <alignment vertical="center"/>
    </xf>
    <xf numFmtId="0" fontId="6" fillId="2" borderId="0" xfId="0" applyFont="1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/>
    <xf numFmtId="0" fontId="5" fillId="2" borderId="0" xfId="0" applyFont="1" applyFill="1" applyBorder="1"/>
    <xf numFmtId="0" fontId="3" fillId="2" borderId="0" xfId="0" applyFont="1" applyFill="1" applyBorder="1"/>
    <xf numFmtId="165" fontId="9" fillId="2" borderId="0" xfId="0" applyNumberFormat="1" applyFont="1" applyFill="1" applyBorder="1" applyAlignment="1">
      <alignment vertical="center"/>
    </xf>
    <xf numFmtId="169" fontId="10" fillId="2" borderId="0" xfId="0" applyNumberFormat="1" applyFont="1" applyFill="1" applyBorder="1"/>
    <xf numFmtId="168" fontId="10" fillId="2" borderId="0" xfId="0" applyNumberFormat="1" applyFont="1" applyFill="1" applyBorder="1"/>
    <xf numFmtId="0" fontId="0" fillId="3" borderId="0" xfId="0" applyFill="1"/>
    <xf numFmtId="0" fontId="6" fillId="2" borderId="0" xfId="0" applyFont="1" applyFill="1" applyBorder="1" applyAlignment="1">
      <alignment horizontal="right"/>
    </xf>
    <xf numFmtId="0" fontId="5" fillId="2" borderId="0" xfId="0" applyFont="1" applyFill="1" applyBorder="1" applyAlignment="1">
      <alignment horizontal="left"/>
    </xf>
    <xf numFmtId="0" fontId="0" fillId="2" borderId="6" xfId="0" applyFill="1" applyBorder="1"/>
    <xf numFmtId="0" fontId="0" fillId="2" borderId="7" xfId="0" applyFill="1" applyBorder="1"/>
    <xf numFmtId="0" fontId="6" fillId="2" borderId="0" xfId="0" applyFont="1" applyFill="1" applyBorder="1" applyAlignment="1">
      <alignment vertical="top"/>
    </xf>
    <xf numFmtId="0" fontId="8" fillId="2" borderId="0" xfId="0" applyFont="1" applyFill="1" applyBorder="1" applyAlignment="1">
      <alignment vertical="center"/>
    </xf>
    <xf numFmtId="1" fontId="0" fillId="4" borderId="8" xfId="0" applyNumberFormat="1" applyFill="1" applyBorder="1" applyAlignment="1">
      <alignment vertical="center"/>
    </xf>
    <xf numFmtId="165" fontId="6" fillId="4" borderId="9" xfId="0" applyNumberFormat="1" applyFont="1" applyFill="1" applyBorder="1" applyAlignment="1">
      <alignment vertical="center"/>
    </xf>
    <xf numFmtId="1" fontId="0" fillId="4" borderId="10" xfId="0" applyNumberFormat="1" applyFill="1" applyBorder="1" applyAlignment="1">
      <alignment vertical="center"/>
    </xf>
    <xf numFmtId="165" fontId="6" fillId="4" borderId="11" xfId="0" applyNumberFormat="1" applyFont="1" applyFill="1" applyBorder="1" applyAlignment="1">
      <alignment vertical="center"/>
    </xf>
    <xf numFmtId="0" fontId="0" fillId="4" borderId="12" xfId="0" applyFill="1" applyBorder="1" applyAlignment="1">
      <alignment vertical="center"/>
    </xf>
    <xf numFmtId="1" fontId="0" fillId="3" borderId="13" xfId="0" applyNumberFormat="1" applyFill="1" applyBorder="1" applyAlignment="1">
      <alignment vertical="center"/>
    </xf>
    <xf numFmtId="167" fontId="10" fillId="2" borderId="6" xfId="0" applyNumberFormat="1" applyFont="1" applyFill="1" applyBorder="1" applyAlignment="1">
      <alignment horizontal="left" vertical="center"/>
    </xf>
    <xf numFmtId="0" fontId="0" fillId="5" borderId="14" xfId="0" applyFill="1" applyBorder="1"/>
    <xf numFmtId="0" fontId="0" fillId="5" borderId="15" xfId="0" applyFill="1" applyBorder="1"/>
    <xf numFmtId="0" fontId="0" fillId="5" borderId="16" xfId="0" applyFill="1" applyBorder="1"/>
    <xf numFmtId="0" fontId="0" fillId="5" borderId="6" xfId="0" applyFill="1" applyBorder="1"/>
    <xf numFmtId="0" fontId="13" fillId="5" borderId="0" xfId="0" applyFont="1" applyFill="1" applyBorder="1" applyAlignment="1">
      <alignment vertical="center"/>
    </xf>
    <xf numFmtId="0" fontId="0" fillId="5" borderId="0" xfId="0" applyFill="1" applyBorder="1" applyAlignment="1">
      <alignment vertical="center"/>
    </xf>
    <xf numFmtId="0" fontId="0" fillId="5" borderId="3" xfId="0" applyFill="1" applyBorder="1" applyAlignment="1">
      <alignment vertical="center"/>
    </xf>
    <xf numFmtId="0" fontId="0" fillId="5" borderId="0" xfId="0" applyFill="1" applyBorder="1"/>
    <xf numFmtId="0" fontId="5" fillId="5" borderId="0" xfId="0" applyFont="1" applyFill="1" applyBorder="1"/>
    <xf numFmtId="0" fontId="0" fillId="5" borderId="3" xfId="0" applyFill="1" applyBorder="1"/>
    <xf numFmtId="0" fontId="7" fillId="6" borderId="17" xfId="0" applyFont="1" applyFill="1" applyBorder="1" applyAlignment="1">
      <alignment horizontal="centerContinuous"/>
    </xf>
    <xf numFmtId="0" fontId="0" fillId="6" borderId="18" xfId="0" applyFill="1" applyBorder="1" applyAlignment="1">
      <alignment horizontal="centerContinuous"/>
    </xf>
    <xf numFmtId="0" fontId="7" fillId="6" borderId="19" xfId="0" applyFont="1" applyFill="1" applyBorder="1" applyAlignment="1">
      <alignment horizontal="centerContinuous"/>
    </xf>
    <xf numFmtId="0" fontId="7" fillId="6" borderId="20" xfId="0" applyFont="1" applyFill="1" applyBorder="1" applyAlignment="1">
      <alignment horizontal="centerContinuous"/>
    </xf>
    <xf numFmtId="0" fontId="7" fillId="6" borderId="18" xfId="0" applyFont="1" applyFill="1" applyBorder="1" applyAlignment="1">
      <alignment horizontal="centerContinuous"/>
    </xf>
    <xf numFmtId="0" fontId="7" fillId="6" borderId="21" xfId="0" applyFont="1" applyFill="1" applyBorder="1" applyAlignment="1">
      <alignment horizontal="centerContinuous" vertical="top"/>
    </xf>
    <xf numFmtId="0" fontId="7" fillId="6" borderId="22" xfId="0" applyFont="1" applyFill="1" applyBorder="1" applyAlignment="1">
      <alignment horizontal="centerContinuous" vertical="top"/>
    </xf>
    <xf numFmtId="0" fontId="7" fillId="6" borderId="23" xfId="0" applyFont="1" applyFill="1" applyBorder="1" applyAlignment="1">
      <alignment horizontal="centerContinuous" vertical="top"/>
    </xf>
    <xf numFmtId="0" fontId="0" fillId="6" borderId="24" xfId="0" applyFill="1" applyBorder="1" applyAlignment="1">
      <alignment horizontal="centerContinuous" vertical="top"/>
    </xf>
    <xf numFmtId="0" fontId="0" fillId="6" borderId="25" xfId="0" applyFill="1" applyBorder="1" applyAlignment="1">
      <alignment horizontal="centerContinuous"/>
    </xf>
    <xf numFmtId="0" fontId="0" fillId="6" borderId="22" xfId="0" applyFill="1" applyBorder="1" applyAlignment="1">
      <alignment horizontal="centerContinuous" vertical="top"/>
    </xf>
    <xf numFmtId="0" fontId="17" fillId="5" borderId="0" xfId="0" applyFont="1" applyFill="1" applyBorder="1" applyAlignment="1">
      <alignment vertical="top"/>
    </xf>
    <xf numFmtId="0" fontId="0" fillId="4" borderId="26" xfId="0" applyFill="1" applyBorder="1" applyAlignment="1">
      <alignment vertical="center"/>
    </xf>
    <xf numFmtId="2" fontId="0" fillId="4" borderId="27" xfId="0" applyNumberFormat="1" applyFill="1" applyBorder="1" applyAlignment="1">
      <alignment vertical="center"/>
    </xf>
    <xf numFmtId="165" fontId="6" fillId="4" borderId="28" xfId="0" applyNumberFormat="1" applyFont="1" applyFill="1" applyBorder="1" applyAlignment="1">
      <alignment vertical="center"/>
    </xf>
    <xf numFmtId="2" fontId="0" fillId="4" borderId="29" xfId="0" applyNumberFormat="1" applyFill="1" applyBorder="1" applyAlignment="1">
      <alignment vertical="center"/>
    </xf>
    <xf numFmtId="165" fontId="6" fillId="4" borderId="30" xfId="0" applyNumberFormat="1" applyFont="1" applyFill="1" applyBorder="1" applyAlignment="1">
      <alignment vertical="center"/>
    </xf>
    <xf numFmtId="0" fontId="9" fillId="4" borderId="31" xfId="0" applyFont="1" applyFill="1" applyBorder="1" applyAlignment="1">
      <alignment vertical="center"/>
    </xf>
    <xf numFmtId="2" fontId="9" fillId="4" borderId="4" xfId="0" applyNumberFormat="1" applyFont="1" applyFill="1" applyBorder="1" applyAlignment="1">
      <alignment vertical="center"/>
    </xf>
    <xf numFmtId="165" fontId="19" fillId="4" borderId="5" xfId="0" applyNumberFormat="1" applyFont="1" applyFill="1" applyBorder="1" applyAlignment="1">
      <alignment vertical="center"/>
    </xf>
    <xf numFmtId="2" fontId="9" fillId="4" borderId="32" xfId="0" applyNumberFormat="1" applyFont="1" applyFill="1" applyBorder="1" applyAlignment="1">
      <alignment vertical="center"/>
    </xf>
    <xf numFmtId="165" fontId="19" fillId="4" borderId="33" xfId="0" applyNumberFormat="1" applyFont="1" applyFill="1" applyBorder="1" applyAlignment="1">
      <alignment vertical="center"/>
    </xf>
    <xf numFmtId="164" fontId="0" fillId="0" borderId="0" xfId="0" applyNumberFormat="1"/>
    <xf numFmtId="0" fontId="24" fillId="0" borderId="0" xfId="0" applyFont="1"/>
    <xf numFmtId="164" fontId="24" fillId="0" borderId="0" xfId="0" applyNumberFormat="1" applyFont="1"/>
    <xf numFmtId="164" fontId="3" fillId="0" borderId="0" xfId="0" applyNumberFormat="1" applyFont="1"/>
    <xf numFmtId="164" fontId="3" fillId="0" borderId="0" xfId="0" applyNumberFormat="1" applyFont="1" applyAlignment="1">
      <alignment horizontal="right"/>
    </xf>
    <xf numFmtId="0" fontId="25" fillId="0" borderId="0" xfId="0" applyFont="1"/>
    <xf numFmtId="164" fontId="25" fillId="0" borderId="0" xfId="0" applyNumberFormat="1" applyFont="1"/>
    <xf numFmtId="0" fontId="26" fillId="0" borderId="0" xfId="0" applyFont="1" applyAlignment="1">
      <alignment horizontal="right"/>
    </xf>
    <xf numFmtId="0" fontId="5" fillId="0" borderId="0" xfId="0" applyFont="1" applyAlignment="1">
      <alignment shrinkToFit="1"/>
    </xf>
    <xf numFmtId="0" fontId="26" fillId="0" borderId="0" xfId="0" applyFont="1" applyAlignment="1">
      <alignment horizontal="left"/>
    </xf>
    <xf numFmtId="164" fontId="3" fillId="7" borderId="0" xfId="0" applyNumberFormat="1" applyFont="1" applyFill="1" applyAlignment="1">
      <alignment horizontal="right"/>
    </xf>
    <xf numFmtId="1" fontId="3" fillId="7" borderId="0" xfId="0" applyNumberFormat="1" applyFont="1" applyFill="1" applyAlignment="1">
      <alignment horizontal="right"/>
    </xf>
    <xf numFmtId="164" fontId="3" fillId="8" borderId="0" xfId="0" applyNumberFormat="1" applyFont="1" applyFill="1" applyAlignment="1">
      <alignment horizontal="right"/>
    </xf>
    <xf numFmtId="0" fontId="3" fillId="8" borderId="0" xfId="0" applyFont="1" applyFill="1"/>
    <xf numFmtId="0" fontId="0" fillId="8" borderId="0" xfId="0" applyFill="1"/>
    <xf numFmtId="0" fontId="1" fillId="0" borderId="0" xfId="0" applyFont="1" applyFill="1" applyAlignment="1">
      <alignment horizontal="right"/>
    </xf>
    <xf numFmtId="0" fontId="28" fillId="0" borderId="0" xfId="0" applyFont="1" applyFill="1" applyAlignment="1">
      <alignment horizontal="right"/>
    </xf>
    <xf numFmtId="1" fontId="29" fillId="0" borderId="0" xfId="0" applyNumberFormat="1" applyFont="1" applyFill="1"/>
    <xf numFmtId="0" fontId="27" fillId="3" borderId="0" xfId="0" applyFont="1" applyFill="1"/>
    <xf numFmtId="166" fontId="29" fillId="9" borderId="0" xfId="0" applyNumberFormat="1" applyFont="1" applyFill="1" applyAlignment="1">
      <alignment horizontal="right" vertical="center"/>
    </xf>
    <xf numFmtId="0" fontId="0" fillId="9" borderId="0" xfId="0" applyFill="1"/>
    <xf numFmtId="0" fontId="30" fillId="9" borderId="0" xfId="0" applyFont="1" applyFill="1"/>
    <xf numFmtId="1" fontId="27" fillId="3" borderId="0" xfId="0" applyNumberFormat="1" applyFont="1" applyFill="1"/>
    <xf numFmtId="0" fontId="31" fillId="3" borderId="0" xfId="0" applyFont="1" applyFill="1"/>
    <xf numFmtId="0" fontId="7" fillId="6" borderId="36" xfId="0" applyFont="1" applyFill="1" applyBorder="1" applyAlignment="1">
      <alignment vertical="center"/>
    </xf>
    <xf numFmtId="0" fontId="0" fillId="0" borderId="37" xfId="0" applyBorder="1" applyAlignment="1">
      <alignment vertical="center"/>
    </xf>
    <xf numFmtId="0" fontId="0" fillId="3" borderId="34" xfId="0" applyFill="1" applyBorder="1" applyAlignment="1" applyProtection="1">
      <alignment vertical="center"/>
      <protection locked="0"/>
    </xf>
    <xf numFmtId="0" fontId="0" fillId="3" borderId="35" xfId="0" applyFill="1" applyBorder="1" applyAlignment="1" applyProtection="1">
      <alignment vertical="center"/>
      <protection locked="0"/>
    </xf>
    <xf numFmtId="0" fontId="0" fillId="0" borderId="35" xfId="0" applyBorder="1" applyAlignment="1" applyProtection="1">
      <alignment vertical="center"/>
      <protection locked="0"/>
    </xf>
    <xf numFmtId="49" fontId="3" fillId="3" borderId="34" xfId="0" applyNumberFormat="1" applyFont="1" applyFill="1" applyBorder="1" applyAlignment="1" applyProtection="1">
      <alignment vertical="center"/>
      <protection locked="0"/>
    </xf>
  </cellXfs>
  <cellStyles count="1">
    <cellStyle name="Normal" xfId="0" builtinId="0"/>
  </cellStyles>
  <dxfs count="2">
    <dxf>
      <font>
        <condense val="0"/>
        <extend val="0"/>
        <color indexed="31"/>
      </font>
      <fill>
        <patternFill>
          <bgColor indexed="31"/>
        </patternFill>
      </fill>
      <border>
        <left/>
        <right/>
        <bottom/>
      </border>
    </dxf>
    <dxf>
      <font>
        <condense val="0"/>
        <extend val="0"/>
        <color indexed="31"/>
      </font>
      <fill>
        <patternFill>
          <bgColor indexed="3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0FFF0"/>
      <rgbColor rgb="00FAFAFA"/>
      <rgbColor rgb="00F5F5F5"/>
      <rgbColor rgb="00000080"/>
      <rgbColor rgb="00FF00FF"/>
      <rgbColor rgb="00FFFF00"/>
      <rgbColor rgb="0000FFFF"/>
      <rgbColor rgb="00800080"/>
      <rgbColor rgb="00800000"/>
      <rgbColor rgb="00D4F4D4"/>
      <rgbColor rgb="00E8E8E8"/>
      <rgbColor rgb="0000CCFF"/>
      <rgbColor rgb="00EBF7FF"/>
      <rgbColor rgb="00CCFFCC"/>
      <rgbColor rgb="00FFFF99"/>
      <rgbColor rgb="00CCE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A0A0A0"/>
      <rgbColor rgb="00003366"/>
      <rgbColor rgb="00339966"/>
      <rgbColor rgb="00003300"/>
      <rgbColor rgb="00333300"/>
      <rgbColor rgb="00D82428"/>
      <rgbColor rgb="00993366"/>
      <rgbColor rgb="00333399"/>
      <rgbColor rgb="00505050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http://www.rockwool.cz/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85725</xdr:colOff>
      <xdr:row>1</xdr:row>
      <xdr:rowOff>9525</xdr:rowOff>
    </xdr:from>
    <xdr:to>
      <xdr:col>12</xdr:col>
      <xdr:colOff>390525</xdr:colOff>
      <xdr:row>2</xdr:row>
      <xdr:rowOff>0</xdr:rowOff>
    </xdr:to>
    <xdr:pic>
      <xdr:nvPicPr>
        <xdr:cNvPr id="2219" name="Picture 103" descr="cz">
          <a:extLst>
            <a:ext uri="{FF2B5EF4-FFF2-40B4-BE49-F238E27FC236}">
              <a16:creationId xmlns:a16="http://schemas.microsoft.com/office/drawing/2014/main" id="{71725875-DB96-4373-BC9D-9BA31EA61A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86525" y="142875"/>
          <a:ext cx="304800" cy="20955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E8E8E8" mc:Ignorable="a14" a14:legacySpreadsheetColorIndex="39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15</xdr:row>
      <xdr:rowOff>38100</xdr:rowOff>
    </xdr:from>
    <xdr:to>
      <xdr:col>13</xdr:col>
      <xdr:colOff>0</xdr:colOff>
      <xdr:row>17</xdr:row>
      <xdr:rowOff>114300</xdr:rowOff>
    </xdr:to>
    <xdr:pic>
      <xdr:nvPicPr>
        <xdr:cNvPr id="2220" name="Picture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8582BAC-F273-4B9E-84C6-1E1C49C72A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475" t="24184" r="7375" b="23856"/>
        <a:stretch>
          <a:fillRect/>
        </a:stretch>
      </xdr:blipFill>
      <xdr:spPr bwMode="auto">
        <a:xfrm>
          <a:off x="5372100" y="2247900"/>
          <a:ext cx="14382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>
    <pageSetUpPr fitToPage="1"/>
  </sheetPr>
  <dimension ref="A1:N21"/>
  <sheetViews>
    <sheetView showGridLines="0" tabSelected="1" topLeftCell="B1" workbookViewId="0">
      <selection activeCell="C6" sqref="C6:D6"/>
    </sheetView>
  </sheetViews>
  <sheetFormatPr defaultRowHeight="10.5"/>
  <cols>
    <col min="1" max="1" width="3.33203125" style="18" hidden="1" customWidth="1"/>
    <col min="2" max="2" width="3.33203125" style="18" customWidth="1"/>
    <col min="3" max="3" width="25.83203125" style="18" customWidth="1"/>
    <col min="4" max="4" width="10.83203125" style="18" customWidth="1"/>
    <col min="5" max="5" width="7.1640625" style="18" customWidth="1"/>
    <col min="6" max="6" width="10.83203125" style="18" customWidth="1"/>
    <col min="7" max="7" width="7.1640625" style="18" customWidth="1"/>
    <col min="8" max="8" width="10.83203125" style="18" customWidth="1"/>
    <col min="9" max="9" width="7.1640625" style="18" customWidth="1"/>
    <col min="10" max="10" width="10.83203125" style="18" customWidth="1"/>
    <col min="11" max="11" width="7.1640625" style="18" customWidth="1"/>
    <col min="12" max="12" width="10.83203125" style="18" customWidth="1"/>
    <col min="13" max="13" width="7.1640625" style="18" customWidth="1"/>
    <col min="14" max="14" width="3.33203125" style="18" customWidth="1"/>
    <col min="15" max="16384" width="9.33203125" style="18"/>
  </cols>
  <sheetData>
    <row r="1" spans="2:14">
      <c r="B1" s="32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4"/>
    </row>
    <row r="2" spans="2:14" ht="17.25">
      <c r="B2" s="35"/>
      <c r="C2" s="36" t="s">
        <v>41</v>
      </c>
      <c r="D2" s="37"/>
      <c r="E2" s="37"/>
      <c r="F2" s="37"/>
      <c r="G2" s="37"/>
      <c r="H2" s="37"/>
      <c r="I2" s="37"/>
      <c r="J2" s="37"/>
      <c r="K2" s="37"/>
      <c r="L2" s="37"/>
      <c r="M2" s="37"/>
      <c r="N2" s="38"/>
    </row>
    <row r="3" spans="2:14" ht="11.25" customHeight="1">
      <c r="B3" s="35"/>
      <c r="C3" s="53" t="s">
        <v>39</v>
      </c>
      <c r="D3" s="39"/>
      <c r="E3" s="39"/>
      <c r="F3" s="39"/>
      <c r="G3" s="40"/>
      <c r="H3" s="39"/>
      <c r="I3" s="39"/>
      <c r="J3" s="39"/>
      <c r="K3" s="39"/>
      <c r="L3" s="39"/>
      <c r="M3" s="39"/>
      <c r="N3" s="41"/>
    </row>
    <row r="4" spans="2:14" ht="11.25" customHeight="1">
      <c r="B4" s="21"/>
      <c r="C4" s="6"/>
      <c r="D4" s="6"/>
      <c r="E4" s="6"/>
      <c r="F4" s="6"/>
      <c r="G4" s="13"/>
      <c r="H4" s="6"/>
      <c r="I4" s="6"/>
      <c r="J4" s="6"/>
      <c r="K4" s="6"/>
      <c r="L4" s="6"/>
      <c r="M4" s="6"/>
      <c r="N4" s="10"/>
    </row>
    <row r="5" spans="2:14" ht="12.75" customHeight="1">
      <c r="B5" s="21"/>
      <c r="C5" s="24" t="s">
        <v>13</v>
      </c>
      <c r="D5" s="6"/>
      <c r="E5" s="6"/>
      <c r="F5" s="24" t="s">
        <v>16</v>
      </c>
      <c r="G5" s="6"/>
      <c r="H5" s="6"/>
      <c r="I5" s="24" t="s">
        <v>25</v>
      </c>
      <c r="J5" s="6"/>
      <c r="K5" s="6"/>
      <c r="L5" s="13"/>
      <c r="M5" s="6"/>
      <c r="N5" s="10"/>
    </row>
    <row r="6" spans="2:14" ht="12.75" customHeight="1">
      <c r="B6" s="21"/>
      <c r="C6" s="90" t="s">
        <v>65</v>
      </c>
      <c r="D6" s="91"/>
      <c r="E6" s="6"/>
      <c r="F6" s="90" t="s">
        <v>47</v>
      </c>
      <c r="G6" s="92"/>
      <c r="H6" s="31">
        <f>VLOOKUP(F6,izolanty,4,)</f>
        <v>3.9999999999999994E-2</v>
      </c>
      <c r="I6" s="93" t="s">
        <v>26</v>
      </c>
      <c r="J6" s="92"/>
      <c r="K6" s="6"/>
      <c r="L6" s="13"/>
      <c r="M6" s="6"/>
      <c r="N6" s="10"/>
    </row>
    <row r="7" spans="2:14" ht="10.5" customHeight="1">
      <c r="B7" s="21"/>
      <c r="C7" s="14" t="s">
        <v>18</v>
      </c>
      <c r="D7" s="7">
        <v>2.64</v>
      </c>
      <c r="E7" s="15" t="s">
        <v>20</v>
      </c>
      <c r="F7" s="16">
        <f>IF(LEFT(C6,3)="jin",IF(D7+D8=0,0,IF(D7="",1/D8-0.17,D7)),VLOOKUP(C6,materiály,5,))</f>
        <v>0.37974683544303794</v>
      </c>
      <c r="G7" s="13"/>
      <c r="H7" s="6"/>
      <c r="I7" s="6"/>
      <c r="J7" s="6"/>
      <c r="K7" s="6"/>
      <c r="L7" s="13"/>
      <c r="M7" s="6"/>
      <c r="N7" s="10"/>
    </row>
    <row r="8" spans="2:14" ht="10.5" customHeight="1">
      <c r="B8" s="21"/>
      <c r="C8" s="14" t="s">
        <v>19</v>
      </c>
      <c r="D8" s="8"/>
      <c r="E8" s="15" t="s">
        <v>21</v>
      </c>
      <c r="F8" s="17">
        <f xml:space="preserve"> 1/(F7+0.17)</f>
        <v>1.8190191112134471</v>
      </c>
      <c r="G8" s="13"/>
      <c r="H8" s="13"/>
      <c r="I8" s="13"/>
      <c r="J8" s="13"/>
      <c r="K8" s="13"/>
      <c r="L8" s="13"/>
      <c r="M8" s="6"/>
      <c r="N8" s="10"/>
    </row>
    <row r="9" spans="2:14" ht="5.25" customHeight="1">
      <c r="B9" s="21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10"/>
    </row>
    <row r="10" spans="2:14" ht="15.95" customHeight="1">
      <c r="B10" s="21"/>
      <c r="C10" s="88" t="s">
        <v>30</v>
      </c>
      <c r="D10" s="44" t="s">
        <v>33</v>
      </c>
      <c r="E10" s="42"/>
      <c r="F10" s="45" t="s">
        <v>32</v>
      </c>
      <c r="G10" s="42"/>
      <c r="H10" s="45" t="s">
        <v>29</v>
      </c>
      <c r="I10" s="42"/>
      <c r="J10" s="46"/>
      <c r="K10" s="51"/>
      <c r="L10" s="45" t="s">
        <v>23</v>
      </c>
      <c r="M10" s="43"/>
      <c r="N10" s="10"/>
    </row>
    <row r="11" spans="2:14" ht="15.95" customHeight="1">
      <c r="B11" s="21"/>
      <c r="C11" s="89"/>
      <c r="D11" s="47" t="s">
        <v>34</v>
      </c>
      <c r="E11" s="48"/>
      <c r="F11" s="49" t="s">
        <v>35</v>
      </c>
      <c r="G11" s="48"/>
      <c r="H11" s="49" t="s">
        <v>36</v>
      </c>
      <c r="I11" s="48"/>
      <c r="J11" s="49" t="s">
        <v>37</v>
      </c>
      <c r="K11" s="52"/>
      <c r="L11" s="47" t="s">
        <v>38</v>
      </c>
      <c r="M11" s="50"/>
      <c r="N11" s="10"/>
    </row>
    <row r="12" spans="2:14" ht="11.25" customHeight="1">
      <c r="B12" s="21"/>
      <c r="C12" s="54" t="s">
        <v>31</v>
      </c>
      <c r="D12" s="55">
        <f>IF(typkonstrukce="těžká",0.3,0.3)</f>
        <v>0.3</v>
      </c>
      <c r="E12" s="56" t="s">
        <v>21</v>
      </c>
      <c r="F12" s="57">
        <f>IF(typkonstrukce="těžká",0.25,0.2)</f>
        <v>0.25</v>
      </c>
      <c r="G12" s="56" t="s">
        <v>21</v>
      </c>
      <c r="H12" s="57">
        <f>IF(typkonstrukce="těžká",0.18,0.18)</f>
        <v>0.18</v>
      </c>
      <c r="I12" s="56" t="s">
        <v>21</v>
      </c>
      <c r="J12" s="57">
        <f>IF(typkonstrukce="těžká",0.12,0.12)</f>
        <v>0.12</v>
      </c>
      <c r="K12" s="56" t="s">
        <v>21</v>
      </c>
      <c r="L12" s="55">
        <f>1/(L13+0.17)</f>
        <v>0.23323632375268386</v>
      </c>
      <c r="M12" s="58" t="s">
        <v>21</v>
      </c>
      <c r="N12" s="10"/>
    </row>
    <row r="13" spans="2:14" ht="11.25" customHeight="1">
      <c r="B13" s="21"/>
      <c r="C13" s="59" t="s">
        <v>27</v>
      </c>
      <c r="D13" s="60">
        <f>1/D12-0.17</f>
        <v>3.1633333333333336</v>
      </c>
      <c r="E13" s="61" t="s">
        <v>20</v>
      </c>
      <c r="F13" s="62">
        <f>1/F12-0.17</f>
        <v>3.83</v>
      </c>
      <c r="G13" s="61" t="s">
        <v>20</v>
      </c>
      <c r="H13" s="62">
        <f>1/H12-0.17</f>
        <v>5.3855555555555554</v>
      </c>
      <c r="I13" s="61" t="s">
        <v>20</v>
      </c>
      <c r="J13" s="60">
        <f>1/J12-0.17</f>
        <v>8.163333333333334</v>
      </c>
      <c r="K13" s="61" t="s">
        <v>20</v>
      </c>
      <c r="L13" s="60">
        <f>(L14-0.49)/1000/H6+F7</f>
        <v>4.1174968354430383</v>
      </c>
      <c r="M13" s="63" t="s">
        <v>20</v>
      </c>
      <c r="N13" s="10"/>
    </row>
    <row r="14" spans="2:14" ht="12.75" customHeight="1">
      <c r="B14" s="21"/>
      <c r="C14" s="29" t="s">
        <v>24</v>
      </c>
      <c r="D14" s="27">
        <f>ROUND((D13-$F$7)*$H$6*1000+0.49,0)</f>
        <v>112</v>
      </c>
      <c r="E14" s="26" t="s">
        <v>64</v>
      </c>
      <c r="F14" s="25">
        <f>ROUND((F13-$F$7)*$H$6*1000+0.49,0)</f>
        <v>139</v>
      </c>
      <c r="G14" s="26" t="s">
        <v>64</v>
      </c>
      <c r="H14" s="25">
        <f>ROUND((H13-$F$7)*$H$6*1000+0.49,0)</f>
        <v>201</v>
      </c>
      <c r="I14" s="26" t="s">
        <v>64</v>
      </c>
      <c r="J14" s="27">
        <f>ROUND((J13-$F$7)*$H$6*1000+0.49,0)</f>
        <v>312</v>
      </c>
      <c r="K14" s="26" t="s">
        <v>64</v>
      </c>
      <c r="L14" s="30">
        <v>150</v>
      </c>
      <c r="M14" s="28" t="s">
        <v>64</v>
      </c>
      <c r="N14" s="10"/>
    </row>
    <row r="15" spans="2:14" ht="5.25" customHeight="1">
      <c r="B15" s="21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10"/>
    </row>
    <row r="16" spans="2:14">
      <c r="B16" s="21"/>
      <c r="C16" s="23" t="s">
        <v>40</v>
      </c>
      <c r="D16" s="6"/>
      <c r="E16" s="6"/>
      <c r="F16" s="6"/>
      <c r="G16" s="6"/>
      <c r="H16" s="6"/>
      <c r="I16" s="6"/>
      <c r="J16" s="6"/>
      <c r="K16" s="6"/>
      <c r="L16" s="6"/>
      <c r="M16" s="19"/>
      <c r="N16" s="10"/>
    </row>
    <row r="17" spans="2:14" ht="5.25" customHeight="1">
      <c r="B17" s="21"/>
      <c r="C17" s="9"/>
      <c r="D17" s="6"/>
      <c r="E17" s="6"/>
      <c r="F17" s="6"/>
      <c r="G17" s="6"/>
      <c r="H17" s="6"/>
      <c r="I17" s="6"/>
      <c r="J17" s="6"/>
      <c r="K17" s="6"/>
      <c r="L17" s="6"/>
      <c r="M17" s="19"/>
      <c r="N17" s="10"/>
    </row>
    <row r="18" spans="2:14">
      <c r="B18" s="21"/>
      <c r="C18" s="20" t="str">
        <f ca="1">"© ROCKWOOL a.s., Zdeněk Kobza &amp; Martin Matějka, 2006-"&amp;YEAR(TODAY())</f>
        <v>© ROCKWOOL a.s., Zdeněk Kobza &amp; Martin Matějka, 2006-2019</v>
      </c>
      <c r="D18" s="6"/>
      <c r="E18" s="6"/>
      <c r="F18" s="6"/>
      <c r="G18" s="6"/>
      <c r="H18" s="6"/>
      <c r="I18" s="6"/>
      <c r="J18" s="6"/>
      <c r="K18" s="6"/>
      <c r="L18" s="6"/>
      <c r="M18" s="19"/>
      <c r="N18" s="10"/>
    </row>
    <row r="19" spans="2:14" ht="5.25" customHeight="1">
      <c r="B19" s="22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2"/>
    </row>
    <row r="20" spans="2:14" hidden="1"/>
    <row r="21" spans="2:14" hidden="1">
      <c r="C21" s="82" t="s">
        <v>74</v>
      </c>
      <c r="D21" s="86">
        <f>VLOOKUP($C$6,materiály,8,)+VLOOKUP($F$6,izolanty,5,)*D14/1000</f>
        <v>519.85599999999999</v>
      </c>
      <c r="E21" s="87" t="s">
        <v>73</v>
      </c>
      <c r="F21" s="86">
        <f>VLOOKUP($C$6,materiály,8,)+VLOOKUP($F$6,izolanty,5,)*F14/1000</f>
        <v>522.23199999999997</v>
      </c>
      <c r="G21" s="87" t="s">
        <v>73</v>
      </c>
      <c r="H21" s="86">
        <f>VLOOKUP($C$6,materiály,8,)+VLOOKUP($F$6,izolanty,5,)*H14/1000</f>
        <v>527.68799999999999</v>
      </c>
      <c r="I21" s="87" t="s">
        <v>73</v>
      </c>
      <c r="J21" s="86">
        <f>VLOOKUP($C$6,materiály,8,)+VLOOKUP($F$6,izolanty,5,)*J14/1000</f>
        <v>537.45600000000002</v>
      </c>
      <c r="K21" s="87" t="s">
        <v>73</v>
      </c>
      <c r="L21" s="86">
        <f>VLOOKUP($C$6,materiály,8,)+VLOOKUP($F$6,izolanty,5,)*L14/1000</f>
        <v>523.20000000000005</v>
      </c>
      <c r="M21" s="87" t="s">
        <v>73</v>
      </c>
    </row>
  </sheetData>
  <sheetProtection algorithmName="SHA-512" hashValue="aWIafvmt2ncBRYRDOa2mPPN4a6SdXxzNcuk5DYqch79ewVngEkb058Xeg2VLEVuj3TtlmHvvvjY90B+2+sh87Q==" saltValue="SrrnW0pa9ZHxy2apKU22wQ==" spinCount="100000" sheet="1" objects="1" scenarios="1" selectLockedCells="1"/>
  <mergeCells count="4">
    <mergeCell ref="I6:J6"/>
    <mergeCell ref="F6:G6"/>
    <mergeCell ref="C6:D6"/>
    <mergeCell ref="C10:C11"/>
  </mergeCells>
  <phoneticPr fontId="0" type="noConversion"/>
  <conditionalFormatting sqref="I6 J7">
    <cfRule type="expression" dxfId="1" priority="1" stopIfTrue="1">
      <formula>$K$5=2</formula>
    </cfRule>
  </conditionalFormatting>
  <conditionalFormatting sqref="C7:E8">
    <cfRule type="expression" dxfId="0" priority="2" stopIfTrue="1">
      <formula>LEFT($C$6,3)&lt;&gt;"jin"</formula>
    </cfRule>
  </conditionalFormatting>
  <dataValidations count="3">
    <dataValidation type="list" allowBlank="1" showInputMessage="1" sqref="I6">
      <formula1>"lehká,těžká"</formula1>
    </dataValidation>
    <dataValidation type="list" allowBlank="1" showInputMessage="1" sqref="C6:D6">
      <formula1>materiál</formula1>
    </dataValidation>
    <dataValidation type="list" allowBlank="1" showInputMessage="1" showErrorMessage="1" sqref="F6:G6">
      <formula1>izolant</formula1>
    </dataValidation>
  </dataValidations>
  <printOptions horizontalCentered="1"/>
  <pageMargins left="0.31496062992125984" right="0.31496062992125984" top="0.39370078740157483" bottom="0.39370078740157483" header="0.51181102362204722" footer="0.51181102362204722"/>
  <pageSetup paperSize="9" orientation="portrait" r:id="rId1"/>
  <headerFooter alignWithMargins="0"/>
  <customProperties>
    <customPr name="_pios_id" r:id="rId2"/>
  </customPropertie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2"/>
  <dimension ref="A1:N58"/>
  <sheetViews>
    <sheetView zoomScaleNormal="100" workbookViewId="0">
      <pane ySplit="1" topLeftCell="A2" activePane="bottomLeft" state="frozen"/>
      <selection pane="bottomLeft"/>
    </sheetView>
  </sheetViews>
  <sheetFormatPr defaultRowHeight="10.5"/>
  <cols>
    <col min="1" max="1" width="32.1640625" customWidth="1"/>
    <col min="2" max="2" width="26.6640625" customWidth="1"/>
    <col min="3" max="4" width="8.1640625" bestFit="1" customWidth="1"/>
    <col min="5" max="5" width="9.1640625" bestFit="1" customWidth="1"/>
    <col min="6" max="6" width="5.83203125" bestFit="1" customWidth="1"/>
    <col min="8" max="8" width="7.33203125" customWidth="1"/>
    <col min="10" max="10" width="18.83203125" customWidth="1"/>
    <col min="11" max="11" width="10" customWidth="1"/>
    <col min="12" max="12" width="10.5" bestFit="1" customWidth="1"/>
    <col min="13" max="13" width="5.83203125" bestFit="1" customWidth="1"/>
  </cols>
  <sheetData>
    <row r="1" spans="1:14">
      <c r="A1" s="4" t="s">
        <v>10</v>
      </c>
      <c r="B1" s="1" t="s">
        <v>8</v>
      </c>
      <c r="C1" s="1" t="s">
        <v>55</v>
      </c>
      <c r="D1" s="2" t="s">
        <v>0</v>
      </c>
      <c r="E1" s="1" t="s">
        <v>1</v>
      </c>
      <c r="F1" s="1" t="s">
        <v>2</v>
      </c>
      <c r="G1" s="79" t="s">
        <v>72</v>
      </c>
      <c r="H1" s="80" t="s">
        <v>73</v>
      </c>
      <c r="J1" s="1" t="s">
        <v>46</v>
      </c>
      <c r="K1" s="1" t="s">
        <v>45</v>
      </c>
      <c r="L1" s="1" t="s">
        <v>44</v>
      </c>
      <c r="M1" s="1" t="s">
        <v>0</v>
      </c>
      <c r="N1" s="1" t="s">
        <v>17</v>
      </c>
    </row>
    <row r="2" spans="1:14">
      <c r="A2" s="4" t="str">
        <f t="shared" ref="A2:A45" si="0">IF(B2&lt;&gt;"",B2&amp;" "&amp;IF(C2="ND","","– "&amp;C2&amp;" mm"),SUBSTITUTE(A1,C1,C2))</f>
        <v>Cihla plná pálená – 150 mm</v>
      </c>
      <c r="B2" s="3" t="s">
        <v>54</v>
      </c>
      <c r="C2" s="3">
        <v>150</v>
      </c>
      <c r="D2" s="67">
        <v>0.79</v>
      </c>
      <c r="E2" s="67">
        <f t="shared" ref="E2:E10" si="1" xml:space="preserve"> C2*0.001/D2</f>
        <v>0.18987341772151897</v>
      </c>
      <c r="F2" s="67">
        <f t="shared" ref="F2:F10" si="2" xml:space="preserve"> 1/(E2+0.17)</f>
        <v>2.7787548364403798</v>
      </c>
      <c r="G2" s="77">
        <v>1700</v>
      </c>
      <c r="H2" s="81">
        <f t="shared" ref="H2:H7" si="3">C2/1000*G2</f>
        <v>255</v>
      </c>
      <c r="J2" t="s">
        <v>47</v>
      </c>
      <c r="K2" s="64">
        <v>3.5999999999999997E-2</v>
      </c>
      <c r="L2" s="64">
        <v>4.0000000000000001E-3</v>
      </c>
      <c r="M2" s="64">
        <f>SUM(K2:L2)</f>
        <v>3.9999999999999994E-2</v>
      </c>
      <c r="N2" s="85">
        <v>88</v>
      </c>
    </row>
    <row r="3" spans="1:14">
      <c r="A3" s="4" t="str">
        <f t="shared" si="0"/>
        <v>Cihla plná pálená – 300 mm</v>
      </c>
      <c r="B3" s="3" t="s">
        <v>11</v>
      </c>
      <c r="C3" s="3">
        <v>300</v>
      </c>
      <c r="D3" s="67">
        <v>0.79</v>
      </c>
      <c r="E3" s="67">
        <f t="shared" si="1"/>
        <v>0.37974683544303794</v>
      </c>
      <c r="F3" s="67">
        <f t="shared" si="2"/>
        <v>1.8190191112134471</v>
      </c>
      <c r="G3" s="3">
        <v>1700</v>
      </c>
      <c r="H3" s="81">
        <f t="shared" si="3"/>
        <v>510</v>
      </c>
      <c r="J3" t="s">
        <v>48</v>
      </c>
      <c r="K3" s="64">
        <v>3.5000000000000003E-2</v>
      </c>
      <c r="L3" s="64">
        <v>4.0000000000000001E-3</v>
      </c>
      <c r="M3" s="64">
        <f>SUM(K3:L3)</f>
        <v>3.9000000000000007E-2</v>
      </c>
      <c r="N3" s="78">
        <v>80</v>
      </c>
    </row>
    <row r="4" spans="1:14">
      <c r="A4" s="4" t="str">
        <f t="shared" si="0"/>
        <v>Cihla plná pálená – 450 mm</v>
      </c>
      <c r="B4" s="3" t="s">
        <v>11</v>
      </c>
      <c r="C4" s="3">
        <v>450</v>
      </c>
      <c r="D4" s="67">
        <v>0.79</v>
      </c>
      <c r="E4" s="67">
        <f t="shared" si="1"/>
        <v>0.569620253164557</v>
      </c>
      <c r="F4" s="67">
        <f t="shared" si="2"/>
        <v>1.352045182269382</v>
      </c>
      <c r="G4" s="3">
        <v>1700</v>
      </c>
      <c r="H4" s="81">
        <f t="shared" si="3"/>
        <v>765</v>
      </c>
      <c r="J4" t="s">
        <v>49</v>
      </c>
      <c r="K4" s="64">
        <v>3.6999999999999998E-2</v>
      </c>
      <c r="L4" s="64">
        <v>4.0000000000000001E-3</v>
      </c>
      <c r="M4" s="64">
        <f>SUM(K4:L4)</f>
        <v>4.0999999999999995E-2</v>
      </c>
      <c r="N4" s="78">
        <v>110</v>
      </c>
    </row>
    <row r="5" spans="1:14">
      <c r="A5" s="4" t="str">
        <f t="shared" si="0"/>
        <v>Cihla plná pálená – 600 mm</v>
      </c>
      <c r="B5" s="3" t="s">
        <v>11</v>
      </c>
      <c r="C5" s="3">
        <v>600</v>
      </c>
      <c r="D5" s="67">
        <v>0.79</v>
      </c>
      <c r="E5" s="67">
        <f t="shared" si="1"/>
        <v>0.75949367088607589</v>
      </c>
      <c r="F5" s="67">
        <f t="shared" si="2"/>
        <v>1.0758545553588452</v>
      </c>
      <c r="G5" s="3">
        <v>1700</v>
      </c>
      <c r="H5" s="81">
        <f t="shared" si="3"/>
        <v>1020</v>
      </c>
      <c r="J5" t="s">
        <v>50</v>
      </c>
      <c r="K5" s="64">
        <v>4.1000000000000002E-2</v>
      </c>
      <c r="L5" s="64">
        <v>4.0000000000000001E-3</v>
      </c>
      <c r="M5" s="64">
        <f>SUM(K5:L5)</f>
        <v>4.4999999999999998E-2</v>
      </c>
      <c r="N5" s="84">
        <v>72</v>
      </c>
    </row>
    <row r="6" spans="1:14">
      <c r="A6" s="4" t="str">
        <f t="shared" si="0"/>
        <v>Cihla děrovaná pálená CDm – 240 mm</v>
      </c>
      <c r="B6" s="3" t="s">
        <v>56</v>
      </c>
      <c r="C6" s="3">
        <v>240</v>
      </c>
      <c r="D6" s="67">
        <v>0.47499999999999998</v>
      </c>
      <c r="E6" s="67">
        <f t="shared" si="1"/>
        <v>0.50526315789473686</v>
      </c>
      <c r="F6" s="67">
        <f t="shared" si="2"/>
        <v>1.4809041309431019</v>
      </c>
      <c r="G6" s="3">
        <v>1450</v>
      </c>
      <c r="H6" s="81">
        <f t="shared" si="3"/>
        <v>348</v>
      </c>
    </row>
    <row r="7" spans="1:14">
      <c r="A7" s="4" t="str">
        <f t="shared" si="0"/>
        <v>Cihla děrovaná pálená CDm – 365 mm</v>
      </c>
      <c r="B7" s="3" t="s">
        <v>11</v>
      </c>
      <c r="C7" s="3">
        <v>365</v>
      </c>
      <c r="D7" s="67">
        <v>0.47499999999999998</v>
      </c>
      <c r="E7" s="67">
        <f t="shared" si="1"/>
        <v>0.768421052631579</v>
      </c>
      <c r="F7" s="67">
        <f t="shared" si="2"/>
        <v>1.0656197420078519</v>
      </c>
      <c r="G7" s="3">
        <v>1450</v>
      </c>
      <c r="H7" s="81">
        <f t="shared" si="3"/>
        <v>529.25</v>
      </c>
    </row>
    <row r="8" spans="1:14">
      <c r="A8" s="4" t="str">
        <f t="shared" si="0"/>
        <v>Kámen (žula, čedič) – 450 mm</v>
      </c>
      <c r="B8" s="3" t="s">
        <v>7</v>
      </c>
      <c r="C8" s="3">
        <v>450</v>
      </c>
      <c r="D8" s="67">
        <v>3.1</v>
      </c>
      <c r="E8" s="67">
        <f t="shared" si="1"/>
        <v>0.14516129032258066</v>
      </c>
      <c r="F8" s="67">
        <f t="shared" si="2"/>
        <v>3.1729785056294779</v>
      </c>
      <c r="G8" s="3" t="s">
        <v>12</v>
      </c>
      <c r="H8" s="81">
        <f>C8/1000*2690</f>
        <v>1210.5</v>
      </c>
      <c r="J8" s="73" t="s">
        <v>61</v>
      </c>
    </row>
    <row r="9" spans="1:14">
      <c r="A9" s="4" t="str">
        <f t="shared" si="0"/>
        <v>Kámen (žula, čedič) – 600 mm</v>
      </c>
      <c r="B9" s="3" t="s">
        <v>11</v>
      </c>
      <c r="C9" s="3">
        <v>600</v>
      </c>
      <c r="D9" s="67">
        <v>3.1</v>
      </c>
      <c r="E9" s="67">
        <f t="shared" si="1"/>
        <v>0.19354838709677419</v>
      </c>
      <c r="F9" s="67">
        <f t="shared" si="2"/>
        <v>2.7506654835847386</v>
      </c>
      <c r="G9" s="3" t="s">
        <v>12</v>
      </c>
      <c r="H9" s="81">
        <f>C9/1000*2690</f>
        <v>1614</v>
      </c>
      <c r="J9" s="65" t="s">
        <v>28</v>
      </c>
      <c r="K9" s="66">
        <v>3.5999999999999997E-2</v>
      </c>
      <c r="L9" s="66">
        <v>4.0000000000000001E-3</v>
      </c>
      <c r="M9" s="66">
        <f>SUM(K9:L9)</f>
        <v>3.9999999999999994E-2</v>
      </c>
    </row>
    <row r="10" spans="1:14">
      <c r="A10" s="4" t="str">
        <f t="shared" si="0"/>
        <v>Kámen (žula, čedič) – 750 mm</v>
      </c>
      <c r="B10" s="3" t="s">
        <v>11</v>
      </c>
      <c r="C10" s="3">
        <v>750</v>
      </c>
      <c r="D10" s="67">
        <v>3.1</v>
      </c>
      <c r="E10" s="67">
        <f t="shared" si="1"/>
        <v>0.24193548387096772</v>
      </c>
      <c r="F10" s="67">
        <f t="shared" si="2"/>
        <v>2.427564604541895</v>
      </c>
      <c r="G10" s="3" t="s">
        <v>12</v>
      </c>
      <c r="H10" s="81">
        <f>C10/1000*2690</f>
        <v>2017.5</v>
      </c>
      <c r="J10" s="65" t="s">
        <v>42</v>
      </c>
      <c r="K10" s="66">
        <v>3.9E-2</v>
      </c>
      <c r="L10" s="66">
        <v>4.0000000000000001E-3</v>
      </c>
      <c r="M10" s="66">
        <f>SUM(K10:L10)</f>
        <v>4.2999999999999997E-2</v>
      </c>
    </row>
    <row r="11" spans="1:14">
      <c r="A11" s="4" t="str">
        <f t="shared" si="0"/>
        <v>Cihla vápenopísková – 150 mm</v>
      </c>
      <c r="B11" s="3" t="s">
        <v>58</v>
      </c>
      <c r="C11" s="3">
        <v>150</v>
      </c>
      <c r="D11" s="74">
        <v>0.4</v>
      </c>
      <c r="E11" s="74">
        <v>0.375</v>
      </c>
      <c r="F11" s="74">
        <v>2.6669999999999998</v>
      </c>
      <c r="G11" s="75">
        <v>2000</v>
      </c>
      <c r="H11" s="81">
        <f t="shared" ref="H11:H42" si="4">C11/1000*G11</f>
        <v>300</v>
      </c>
      <c r="J11" s="65" t="s">
        <v>43</v>
      </c>
      <c r="K11" s="66">
        <v>4.2000000000000003E-2</v>
      </c>
      <c r="L11" s="66">
        <v>4.0000000000000001E-3</v>
      </c>
      <c r="M11" s="66">
        <f>SUM(K11:L11)</f>
        <v>4.5999999999999999E-2</v>
      </c>
    </row>
    <row r="12" spans="1:14">
      <c r="A12" s="4" t="str">
        <f t="shared" si="0"/>
        <v>Cihla vápenopísková – 175 mm</v>
      </c>
      <c r="B12" s="3" t="s">
        <v>11</v>
      </c>
      <c r="C12" s="3">
        <v>175</v>
      </c>
      <c r="D12" s="74">
        <v>0.37</v>
      </c>
      <c r="E12" s="74">
        <v>0.47299999999999998</v>
      </c>
      <c r="F12" s="74">
        <v>2.1139999999999999</v>
      </c>
      <c r="G12" s="75">
        <v>1400</v>
      </c>
      <c r="H12" s="81">
        <f t="shared" si="4"/>
        <v>244.99999999999997</v>
      </c>
    </row>
    <row r="13" spans="1:14">
      <c r="A13" s="4" t="str">
        <f t="shared" si="0"/>
        <v>Cihla vápenopísková – 200 mm</v>
      </c>
      <c r="B13" s="3" t="s">
        <v>11</v>
      </c>
      <c r="C13" s="3">
        <v>200</v>
      </c>
      <c r="D13" s="74">
        <v>0.4</v>
      </c>
      <c r="E13" s="74">
        <v>0.5</v>
      </c>
      <c r="F13" s="74">
        <v>2</v>
      </c>
      <c r="G13" s="75">
        <v>1200</v>
      </c>
      <c r="H13" s="81">
        <f t="shared" si="4"/>
        <v>240</v>
      </c>
    </row>
    <row r="14" spans="1:14">
      <c r="A14" s="4" t="str">
        <f t="shared" si="0"/>
        <v>Cihla vápenopísková – 240 mm</v>
      </c>
      <c r="B14" s="3" t="s">
        <v>11</v>
      </c>
      <c r="C14" s="3">
        <v>240</v>
      </c>
      <c r="D14" s="74">
        <v>0.38</v>
      </c>
      <c r="E14" s="74">
        <v>0.63</v>
      </c>
      <c r="F14" s="74">
        <v>1.587</v>
      </c>
      <c r="G14" s="75">
        <v>1400</v>
      </c>
      <c r="H14" s="81">
        <f t="shared" si="4"/>
        <v>336</v>
      </c>
    </row>
    <row r="15" spans="1:14">
      <c r="A15" s="4" t="str">
        <f t="shared" si="0"/>
        <v>Cihla vápenopísková – 300 mm</v>
      </c>
      <c r="B15" s="3" t="s">
        <v>11</v>
      </c>
      <c r="C15" s="3">
        <v>300</v>
      </c>
      <c r="D15" s="74">
        <v>0.82</v>
      </c>
      <c r="E15" s="74">
        <v>0.36599999999999999</v>
      </c>
      <c r="F15" s="74">
        <v>2.734</v>
      </c>
      <c r="G15" s="75">
        <v>2000</v>
      </c>
      <c r="H15" s="81">
        <f t="shared" si="4"/>
        <v>600</v>
      </c>
    </row>
    <row r="16" spans="1:14">
      <c r="A16" s="4" t="str">
        <f t="shared" si="0"/>
        <v>Pórobeton P2 - 400 – 250 mm</v>
      </c>
      <c r="B16" s="3" t="s">
        <v>66</v>
      </c>
      <c r="C16" s="3">
        <v>250</v>
      </c>
      <c r="D16" s="76">
        <v>0.105</v>
      </c>
      <c r="E16" s="76">
        <f t="shared" ref="E16:E24" si="5" xml:space="preserve"> C16*0.001/D16</f>
        <v>2.3809523809523809</v>
      </c>
      <c r="F16" s="76">
        <v>0.42</v>
      </c>
      <c r="G16" s="77">
        <v>400</v>
      </c>
      <c r="H16" s="81">
        <f t="shared" si="4"/>
        <v>100</v>
      </c>
    </row>
    <row r="17" spans="1:8">
      <c r="A17" s="4" t="str">
        <f t="shared" si="0"/>
        <v>Pórobeton P2 - 400 – 300 mm</v>
      </c>
      <c r="B17" s="3" t="s">
        <v>11</v>
      </c>
      <c r="C17" s="3">
        <v>300</v>
      </c>
      <c r="D17" s="76">
        <v>0.105</v>
      </c>
      <c r="E17" s="76">
        <f t="shared" si="5"/>
        <v>2.8571428571428572</v>
      </c>
      <c r="F17" s="76">
        <v>0.35</v>
      </c>
      <c r="G17" s="77">
        <v>400</v>
      </c>
      <c r="H17" s="81">
        <f t="shared" si="4"/>
        <v>120</v>
      </c>
    </row>
    <row r="18" spans="1:8">
      <c r="A18" s="4" t="str">
        <f t="shared" si="0"/>
        <v>Pórobeton P2 - 400 – 375 mm</v>
      </c>
      <c r="B18" s="3" t="s">
        <v>11</v>
      </c>
      <c r="C18" s="3">
        <v>375</v>
      </c>
      <c r="D18" s="76">
        <v>0.105</v>
      </c>
      <c r="E18" s="76">
        <f t="shared" si="5"/>
        <v>3.5714285714285716</v>
      </c>
      <c r="F18" s="76">
        <v>0.28000000000000003</v>
      </c>
      <c r="G18" s="77">
        <v>400</v>
      </c>
      <c r="H18" s="81">
        <f t="shared" si="4"/>
        <v>150</v>
      </c>
    </row>
    <row r="19" spans="1:8">
      <c r="A19" s="4" t="str">
        <f t="shared" si="0"/>
        <v>Pórobeton P4 - 550 – 250 mm</v>
      </c>
      <c r="B19" s="3" t="s">
        <v>67</v>
      </c>
      <c r="C19" s="3">
        <v>250</v>
      </c>
      <c r="D19" s="76">
        <v>0.14000000000000001</v>
      </c>
      <c r="E19" s="76">
        <v>1.786</v>
      </c>
      <c r="F19" s="76">
        <v>0.56000000000000005</v>
      </c>
      <c r="G19" s="77">
        <v>550</v>
      </c>
      <c r="H19" s="81">
        <f t="shared" si="4"/>
        <v>137.5</v>
      </c>
    </row>
    <row r="20" spans="1:8">
      <c r="A20" s="4" t="str">
        <f t="shared" si="0"/>
        <v>Pórobeton P4 - 550 – 300 mm</v>
      </c>
      <c r="B20" s="3"/>
      <c r="C20" s="3">
        <v>300</v>
      </c>
      <c r="D20" s="76">
        <v>0.14000000000000001</v>
      </c>
      <c r="E20" s="76">
        <v>2.1429999999999998</v>
      </c>
      <c r="F20" s="76">
        <v>0.46700000000000003</v>
      </c>
      <c r="G20" s="77">
        <v>550</v>
      </c>
      <c r="H20" s="81">
        <f t="shared" si="4"/>
        <v>165</v>
      </c>
    </row>
    <row r="21" spans="1:8">
      <c r="A21" s="4" t="str">
        <f t="shared" si="0"/>
        <v>Pórobeton P4 - 550 – 375 mm</v>
      </c>
      <c r="B21" s="3"/>
      <c r="C21" s="3">
        <v>375</v>
      </c>
      <c r="D21" s="76">
        <v>0.14000000000000001</v>
      </c>
      <c r="E21" s="76">
        <v>2.6789999999999998</v>
      </c>
      <c r="F21" s="76">
        <v>0.373</v>
      </c>
      <c r="G21" s="77">
        <v>550</v>
      </c>
      <c r="H21" s="81">
        <f t="shared" si="4"/>
        <v>206.25</v>
      </c>
    </row>
    <row r="22" spans="1:8">
      <c r="A22" s="4" t="str">
        <f t="shared" si="0"/>
        <v>Škvárobetonové tvárnice – 250 mm</v>
      </c>
      <c r="B22" s="3" t="s">
        <v>63</v>
      </c>
      <c r="C22" s="3">
        <v>250</v>
      </c>
      <c r="D22" s="68">
        <v>0.51</v>
      </c>
      <c r="E22" s="68">
        <f t="shared" si="5"/>
        <v>0.49019607843137253</v>
      </c>
      <c r="F22" s="68">
        <f xml:space="preserve"> 1/(E22+0.17)</f>
        <v>1.5147015147015148</v>
      </c>
      <c r="G22" s="3">
        <v>1200</v>
      </c>
      <c r="H22" s="81">
        <f t="shared" si="4"/>
        <v>300</v>
      </c>
    </row>
    <row r="23" spans="1:8">
      <c r="A23" s="4" t="str">
        <f t="shared" si="0"/>
        <v>Škvárobetonové tvárnice – 300 mm</v>
      </c>
      <c r="B23" s="3" t="s">
        <v>11</v>
      </c>
      <c r="C23" s="3">
        <v>300</v>
      </c>
      <c r="D23" s="68">
        <v>0.51</v>
      </c>
      <c r="E23" s="68">
        <f t="shared" si="5"/>
        <v>0.58823529411764708</v>
      </c>
      <c r="F23" s="68">
        <f xml:space="preserve"> 1/(E23+0.17)</f>
        <v>1.3188518231186965</v>
      </c>
      <c r="G23" s="3">
        <v>1200</v>
      </c>
      <c r="H23" s="81">
        <f t="shared" si="4"/>
        <v>360</v>
      </c>
    </row>
    <row r="24" spans="1:8">
      <c r="A24" s="4" t="str">
        <f t="shared" si="0"/>
        <v>Škvárobetonové tvárnice – 400 mm</v>
      </c>
      <c r="B24" s="3" t="s">
        <v>11</v>
      </c>
      <c r="C24" s="3">
        <v>400</v>
      </c>
      <c r="D24" s="68">
        <v>0.51</v>
      </c>
      <c r="E24" s="68">
        <f t="shared" si="5"/>
        <v>0.78431372549019607</v>
      </c>
      <c r="F24" s="68">
        <f xml:space="preserve"> 1/(E24+0.17)</f>
        <v>1.0478734333264845</v>
      </c>
      <c r="G24" s="3">
        <v>1200</v>
      </c>
      <c r="H24" s="81">
        <f t="shared" si="4"/>
        <v>480</v>
      </c>
    </row>
    <row r="25" spans="1:8">
      <c r="A25" s="4" t="str">
        <f t="shared" si="0"/>
        <v>Cihelné bloky P+D – 240 mm</v>
      </c>
      <c r="B25" s="3" t="s">
        <v>57</v>
      </c>
      <c r="C25" s="3">
        <v>240</v>
      </c>
      <c r="D25" s="74">
        <v>0.28000000000000003</v>
      </c>
      <c r="E25" s="74">
        <v>0.86</v>
      </c>
      <c r="F25" s="74">
        <v>0.9</v>
      </c>
      <c r="G25" s="75">
        <v>850</v>
      </c>
      <c r="H25" s="81">
        <f t="shared" si="4"/>
        <v>204</v>
      </c>
    </row>
    <row r="26" spans="1:8">
      <c r="A26" s="4" t="str">
        <f t="shared" si="0"/>
        <v>Cihelné bloky P+D – 300 mm</v>
      </c>
      <c r="B26" s="3" t="s">
        <v>11</v>
      </c>
      <c r="C26" s="3">
        <v>300</v>
      </c>
      <c r="D26" s="74">
        <v>0.17499999999999999</v>
      </c>
      <c r="E26" s="74">
        <v>1.72</v>
      </c>
      <c r="F26" s="74">
        <v>0.5</v>
      </c>
      <c r="G26" s="75">
        <v>825</v>
      </c>
      <c r="H26" s="81">
        <f t="shared" si="4"/>
        <v>247.5</v>
      </c>
    </row>
    <row r="27" spans="1:8">
      <c r="A27" s="4" t="str">
        <f t="shared" si="0"/>
        <v>Cihelné bloky P+D – 380 mm</v>
      </c>
      <c r="B27" s="3" t="s">
        <v>11</v>
      </c>
      <c r="C27" s="3">
        <v>380</v>
      </c>
      <c r="D27" s="74">
        <v>0.108</v>
      </c>
      <c r="E27" s="74">
        <v>3.51</v>
      </c>
      <c r="F27" s="74">
        <v>0.28000000000000003</v>
      </c>
      <c r="G27" s="75">
        <v>750</v>
      </c>
      <c r="H27" s="81">
        <f t="shared" si="4"/>
        <v>285</v>
      </c>
    </row>
    <row r="28" spans="1:8">
      <c r="A28" s="4" t="str">
        <f t="shared" si="0"/>
        <v>Cihelné bloky P+D – 440 mm</v>
      </c>
      <c r="B28" s="3" t="s">
        <v>11</v>
      </c>
      <c r="C28" s="3">
        <v>440</v>
      </c>
      <c r="D28" s="76">
        <v>0.11700000000000001</v>
      </c>
      <c r="E28" s="76">
        <v>3.75</v>
      </c>
      <c r="F28" s="76">
        <v>0.26</v>
      </c>
      <c r="G28" s="75">
        <v>750</v>
      </c>
      <c r="H28" s="81">
        <f t="shared" si="4"/>
        <v>330</v>
      </c>
    </row>
    <row r="29" spans="1:8">
      <c r="A29" s="4" t="str">
        <f t="shared" si="0"/>
        <v>Cihelné bloky P+D – 500 mm</v>
      </c>
      <c r="B29" s="3" t="s">
        <v>11</v>
      </c>
      <c r="C29" s="3">
        <v>500</v>
      </c>
      <c r="D29" s="74">
        <v>8.1000000000000003E-2</v>
      </c>
      <c r="E29" s="74">
        <v>6.25</v>
      </c>
      <c r="F29" s="74">
        <v>0.16</v>
      </c>
      <c r="G29" s="75">
        <v>680</v>
      </c>
      <c r="H29" s="81">
        <f t="shared" si="4"/>
        <v>340</v>
      </c>
    </row>
    <row r="30" spans="1:8">
      <c r="A30" s="4" t="str">
        <f t="shared" si="0"/>
        <v>Cihelné bloky izolační – 300 mm</v>
      </c>
      <c r="B30" s="3" t="s">
        <v>60</v>
      </c>
      <c r="C30" s="3">
        <v>300</v>
      </c>
      <c r="D30" s="74">
        <v>6.4000000000000001E-2</v>
      </c>
      <c r="E30" s="74">
        <v>4.68</v>
      </c>
      <c r="F30" s="74">
        <v>0.21</v>
      </c>
      <c r="G30" s="75">
        <v>650</v>
      </c>
      <c r="H30" s="81">
        <f t="shared" si="4"/>
        <v>195</v>
      </c>
    </row>
    <row r="31" spans="1:8">
      <c r="A31" s="4" t="str">
        <f t="shared" si="0"/>
        <v>Cihelné bloky izolační – 380 mm</v>
      </c>
      <c r="B31" s="3" t="s">
        <v>11</v>
      </c>
      <c r="C31" s="3">
        <v>380</v>
      </c>
      <c r="D31" s="74">
        <v>6.6000000000000003E-2</v>
      </c>
      <c r="E31" s="74">
        <v>5.75</v>
      </c>
      <c r="F31" s="74">
        <v>0.17</v>
      </c>
      <c r="G31" s="75">
        <v>670</v>
      </c>
      <c r="H31" s="81">
        <f t="shared" si="4"/>
        <v>254.6</v>
      </c>
    </row>
    <row r="32" spans="1:8">
      <c r="A32" s="4" t="str">
        <f t="shared" si="0"/>
        <v>Cihelné bloky izolační – 440 mm</v>
      </c>
      <c r="B32" s="3" t="s">
        <v>11</v>
      </c>
      <c r="C32" s="3">
        <v>440</v>
      </c>
      <c r="D32" s="74">
        <v>6.7000000000000004E-2</v>
      </c>
      <c r="E32" s="74">
        <v>6.6</v>
      </c>
      <c r="F32" s="74">
        <v>0.15</v>
      </c>
      <c r="G32" s="75">
        <v>670</v>
      </c>
      <c r="H32" s="81">
        <f t="shared" si="4"/>
        <v>294.8</v>
      </c>
    </row>
    <row r="33" spans="1:8">
      <c r="A33" s="4" t="str">
        <f t="shared" si="0"/>
        <v>Liatherm 2 MPa – 365 mm</v>
      </c>
      <c r="B33" s="3" t="s">
        <v>68</v>
      </c>
      <c r="C33" s="3">
        <v>365</v>
      </c>
      <c r="D33" s="76">
        <v>0.129</v>
      </c>
      <c r="E33" s="76">
        <v>2.83</v>
      </c>
      <c r="F33" s="76">
        <v>0.33</v>
      </c>
      <c r="G33" s="75">
        <v>600</v>
      </c>
      <c r="H33" s="81">
        <f t="shared" si="4"/>
        <v>219</v>
      </c>
    </row>
    <row r="34" spans="1:8">
      <c r="A34" s="4" t="str">
        <f t="shared" si="0"/>
        <v>Liatherm 2 MPa – 425 mm</v>
      </c>
      <c r="B34" s="3" t="s">
        <v>11</v>
      </c>
      <c r="C34" s="3">
        <v>425</v>
      </c>
      <c r="D34" s="76">
        <v>0.128</v>
      </c>
      <c r="E34" s="76">
        <v>3.32</v>
      </c>
      <c r="F34" s="76">
        <v>0.28999999999999998</v>
      </c>
      <c r="G34" s="75">
        <v>600</v>
      </c>
      <c r="H34" s="81">
        <f t="shared" si="4"/>
        <v>255</v>
      </c>
    </row>
    <row r="35" spans="1:8">
      <c r="A35" s="4" t="str">
        <f t="shared" si="0"/>
        <v>Liatherm 4 MPa – 365 mm</v>
      </c>
      <c r="B35" s="3" t="s">
        <v>69</v>
      </c>
      <c r="C35" s="3">
        <v>365</v>
      </c>
      <c r="D35" s="76">
        <v>0.158</v>
      </c>
      <c r="E35" s="76">
        <v>2.31</v>
      </c>
      <c r="F35" s="76">
        <v>0.4</v>
      </c>
      <c r="G35" s="75">
        <v>800</v>
      </c>
      <c r="H35" s="81">
        <f t="shared" si="4"/>
        <v>292</v>
      </c>
    </row>
    <row r="36" spans="1:8">
      <c r="A36" s="4" t="str">
        <f t="shared" si="0"/>
        <v>Liatherm 4 MPa – 425 mm</v>
      </c>
      <c r="B36" s="3"/>
      <c r="C36" s="3">
        <v>425</v>
      </c>
      <c r="D36" s="76">
        <v>0.158</v>
      </c>
      <c r="E36" s="76">
        <v>2.69</v>
      </c>
      <c r="F36" s="76">
        <v>0.35</v>
      </c>
      <c r="G36" s="75">
        <v>800</v>
      </c>
      <c r="H36" s="81">
        <f t="shared" si="4"/>
        <v>340</v>
      </c>
    </row>
    <row r="37" spans="1:8">
      <c r="A37" s="4" t="str">
        <f t="shared" si="0"/>
        <v>Liapor SL 2 MPa – 365 mm</v>
      </c>
      <c r="B37" s="3" t="s">
        <v>71</v>
      </c>
      <c r="C37" s="3">
        <v>365</v>
      </c>
      <c r="D37" s="76">
        <v>9.6000000000000002E-2</v>
      </c>
      <c r="E37" s="76">
        <v>3.79</v>
      </c>
      <c r="F37" s="76">
        <v>0.25</v>
      </c>
      <c r="G37" s="75">
        <v>500</v>
      </c>
      <c r="H37" s="81">
        <f t="shared" si="4"/>
        <v>182.5</v>
      </c>
    </row>
    <row r="38" spans="1:8">
      <c r="A38" s="4" t="str">
        <f t="shared" si="0"/>
        <v>Liapor SL 4 MPa – 365 mm</v>
      </c>
      <c r="B38" s="3" t="s">
        <v>70</v>
      </c>
      <c r="C38" s="3">
        <v>365</v>
      </c>
      <c r="D38" s="76">
        <v>0.122</v>
      </c>
      <c r="E38" s="76">
        <v>2.99</v>
      </c>
      <c r="F38" s="76">
        <v>0.32</v>
      </c>
      <c r="G38" s="75">
        <v>700</v>
      </c>
      <c r="H38" s="81">
        <f t="shared" si="4"/>
        <v>255.5</v>
      </c>
    </row>
    <row r="39" spans="1:8">
      <c r="A39" s="4" t="str">
        <f t="shared" si="0"/>
        <v>Železobeton, beton – 150 mm</v>
      </c>
      <c r="B39" s="3" t="s">
        <v>59</v>
      </c>
      <c r="C39" s="3">
        <v>150</v>
      </c>
      <c r="D39" s="68">
        <v>1.1000000000000001</v>
      </c>
      <c r="E39" s="68">
        <f xml:space="preserve"> C39*0.001/D39</f>
        <v>0.13636363636363635</v>
      </c>
      <c r="F39" s="68">
        <f xml:space="preserve"> 1/(E39+0.17)</f>
        <v>3.2640949554896137</v>
      </c>
      <c r="G39" s="3">
        <v>2200</v>
      </c>
      <c r="H39" s="81">
        <f t="shared" si="4"/>
        <v>330</v>
      </c>
    </row>
    <row r="40" spans="1:8">
      <c r="A40" s="4" t="str">
        <f t="shared" si="0"/>
        <v>Železobeton, beton – 200 mm</v>
      </c>
      <c r="B40" s="3" t="s">
        <v>11</v>
      </c>
      <c r="C40" s="3">
        <v>200</v>
      </c>
      <c r="D40" s="68">
        <v>1.1000000000000001</v>
      </c>
      <c r="E40" s="68">
        <f xml:space="preserve"> C40*0.001/D40</f>
        <v>0.18181818181818182</v>
      </c>
      <c r="F40" s="68">
        <f t="shared" ref="F40:F45" si="6" xml:space="preserve"> 1/(E40+0.17)</f>
        <v>2.842377260981912</v>
      </c>
      <c r="G40" s="3">
        <v>2200</v>
      </c>
      <c r="H40" s="81">
        <f t="shared" si="4"/>
        <v>440</v>
      </c>
    </row>
    <row r="41" spans="1:8">
      <c r="A41" s="4" t="str">
        <f t="shared" si="0"/>
        <v>Železobeton, beton – 250 mm</v>
      </c>
      <c r="B41" s="3" t="s">
        <v>11</v>
      </c>
      <c r="C41" s="3">
        <v>250</v>
      </c>
      <c r="D41" s="68">
        <v>1.1000000000000001</v>
      </c>
      <c r="E41" s="68">
        <f xml:space="preserve"> C41*0.001/D41</f>
        <v>0.22727272727272727</v>
      </c>
      <c r="F41" s="68">
        <f t="shared" si="6"/>
        <v>2.5171624713958809</v>
      </c>
      <c r="G41" s="3">
        <v>2200</v>
      </c>
      <c r="H41" s="81">
        <f t="shared" si="4"/>
        <v>550</v>
      </c>
    </row>
    <row r="42" spans="1:8">
      <c r="A42" s="4" t="str">
        <f t="shared" si="0"/>
        <v>Železobeton, beton – 300 mm</v>
      </c>
      <c r="B42" s="3" t="s">
        <v>11</v>
      </c>
      <c r="C42" s="3">
        <v>300</v>
      </c>
      <c r="D42" s="68">
        <v>1.1000000000000001</v>
      </c>
      <c r="E42" s="68">
        <f xml:space="preserve"> C42*0.001/D42</f>
        <v>0.27272727272727271</v>
      </c>
      <c r="F42" s="68">
        <f t="shared" si="6"/>
        <v>2.2587268993839835</v>
      </c>
      <c r="G42" s="3">
        <v>2200</v>
      </c>
      <c r="H42" s="81">
        <f t="shared" si="4"/>
        <v>660</v>
      </c>
    </row>
    <row r="43" spans="1:8">
      <c r="A43" s="4" t="str">
        <f t="shared" si="0"/>
        <v xml:space="preserve">Panelová bytovka do 1978 </v>
      </c>
      <c r="B43" s="3" t="s">
        <v>51</v>
      </c>
      <c r="C43" s="5" t="s">
        <v>6</v>
      </c>
      <c r="D43" s="68" t="s">
        <v>6</v>
      </c>
      <c r="E43" s="68">
        <v>0.5</v>
      </c>
      <c r="F43" s="68">
        <f t="shared" si="6"/>
        <v>1.4925373134328357</v>
      </c>
      <c r="G43" s="3"/>
      <c r="H43" s="83"/>
    </row>
    <row r="44" spans="1:8">
      <c r="A44" s="4" t="str">
        <f t="shared" si="0"/>
        <v xml:space="preserve">Panelová bytovka do 1993 </v>
      </c>
      <c r="B44" s="3" t="s">
        <v>52</v>
      </c>
      <c r="C44" s="5" t="s">
        <v>6</v>
      </c>
      <c r="D44" s="68" t="s">
        <v>6</v>
      </c>
      <c r="E44" s="68">
        <v>0.95</v>
      </c>
      <c r="F44" s="68">
        <f t="shared" si="6"/>
        <v>0.8928571428571429</v>
      </c>
      <c r="G44" s="3"/>
      <c r="H44" s="83"/>
    </row>
    <row r="45" spans="1:8">
      <c r="A45" s="4" t="str">
        <f t="shared" si="0"/>
        <v xml:space="preserve">Panelová bytovka do 2002 </v>
      </c>
      <c r="B45" s="3" t="s">
        <v>53</v>
      </c>
      <c r="C45" s="5" t="s">
        <v>6</v>
      </c>
      <c r="D45" s="68" t="s">
        <v>6</v>
      </c>
      <c r="E45" s="68">
        <v>2</v>
      </c>
      <c r="F45" s="68">
        <f t="shared" si="6"/>
        <v>0.46082949308755761</v>
      </c>
      <c r="G45" s="3"/>
      <c r="H45" s="83"/>
    </row>
    <row r="46" spans="1:8">
      <c r="A46" s="72" t="s">
        <v>22</v>
      </c>
      <c r="B46" s="3" t="s">
        <v>11</v>
      </c>
      <c r="D46" s="64"/>
      <c r="E46" s="64"/>
      <c r="F46" s="67"/>
      <c r="G46" s="3"/>
      <c r="H46" s="3"/>
    </row>
    <row r="47" spans="1:8">
      <c r="D47" s="64"/>
      <c r="E47" s="64"/>
      <c r="F47" s="64"/>
    </row>
    <row r="48" spans="1:8">
      <c r="A48" s="71" t="s">
        <v>61</v>
      </c>
      <c r="B48" s="69" t="s">
        <v>62</v>
      </c>
      <c r="C48" s="69">
        <v>250</v>
      </c>
      <c r="D48" s="70">
        <v>0.44</v>
      </c>
      <c r="E48" s="70">
        <f xml:space="preserve"> C48*0.001/D48</f>
        <v>0.56818181818181823</v>
      </c>
      <c r="F48" s="70">
        <f t="shared" ref="F48:F58" si="7" xml:space="preserve"> 1/(E48+0.17)</f>
        <v>1.3546798029556648</v>
      </c>
      <c r="G48" s="69">
        <v>580</v>
      </c>
      <c r="H48" s="69"/>
    </row>
    <row r="49" spans="2:8">
      <c r="B49" s="69" t="s">
        <v>11</v>
      </c>
      <c r="C49" s="69">
        <v>300</v>
      </c>
      <c r="D49" s="70">
        <v>0.44</v>
      </c>
      <c r="E49" s="70">
        <f xml:space="preserve"> C49*0.001/D49</f>
        <v>0.68181818181818177</v>
      </c>
      <c r="F49" s="70">
        <f t="shared" si="7"/>
        <v>1.1739594450373532</v>
      </c>
      <c r="G49" s="69">
        <v>580</v>
      </c>
      <c r="H49" s="69"/>
    </row>
    <row r="50" spans="2:8">
      <c r="B50" s="69" t="s">
        <v>11</v>
      </c>
      <c r="C50" s="69">
        <v>400</v>
      </c>
      <c r="D50" s="70">
        <v>0.44</v>
      </c>
      <c r="E50" s="70">
        <f xml:space="preserve"> C50*0.001/D50</f>
        <v>0.90909090909090917</v>
      </c>
      <c r="F50" s="70">
        <f t="shared" si="7"/>
        <v>0.92670598146588035</v>
      </c>
      <c r="G50" s="69">
        <v>580</v>
      </c>
      <c r="H50" s="69"/>
    </row>
    <row r="51" spans="2:8">
      <c r="B51" s="69" t="s">
        <v>4</v>
      </c>
      <c r="C51" s="69">
        <v>380</v>
      </c>
      <c r="D51" s="70">
        <v>0.14499999999999999</v>
      </c>
      <c r="E51" s="70">
        <v>2.68</v>
      </c>
      <c r="F51" s="70">
        <f t="shared" si="7"/>
        <v>0.35087719298245612</v>
      </c>
      <c r="G51" s="69"/>
      <c r="H51" s="69"/>
    </row>
    <row r="52" spans="2:8">
      <c r="B52" s="69" t="s">
        <v>5</v>
      </c>
      <c r="C52" s="69">
        <v>450</v>
      </c>
      <c r="D52" s="70">
        <v>0.15</v>
      </c>
      <c r="E52" s="70">
        <v>3.08</v>
      </c>
      <c r="F52" s="70">
        <f t="shared" si="7"/>
        <v>0.30769230769230771</v>
      </c>
      <c r="G52" s="69"/>
      <c r="H52" s="69"/>
    </row>
    <row r="53" spans="2:8">
      <c r="B53" s="69" t="s">
        <v>14</v>
      </c>
      <c r="C53" s="69">
        <v>365</v>
      </c>
      <c r="D53" s="70">
        <v>0.15</v>
      </c>
      <c r="E53" s="70">
        <v>2.5</v>
      </c>
      <c r="F53" s="70">
        <f t="shared" si="7"/>
        <v>0.37453183520599254</v>
      </c>
      <c r="G53" s="69"/>
      <c r="H53" s="69"/>
    </row>
    <row r="54" spans="2:8">
      <c r="B54" s="69" t="s">
        <v>15</v>
      </c>
      <c r="C54" s="69">
        <v>400</v>
      </c>
      <c r="D54" s="70">
        <v>0.15</v>
      </c>
      <c r="E54" s="70">
        <v>2.74</v>
      </c>
      <c r="F54" s="70">
        <f t="shared" si="7"/>
        <v>0.3436426116838488</v>
      </c>
      <c r="G54" s="69"/>
      <c r="H54" s="69"/>
    </row>
    <row r="55" spans="2:8">
      <c r="B55" s="69" t="s">
        <v>3</v>
      </c>
      <c r="C55" s="69">
        <v>290</v>
      </c>
      <c r="D55" s="70">
        <v>0.49</v>
      </c>
      <c r="E55" s="70">
        <f xml:space="preserve"> C55*0.001/D55</f>
        <v>0.59183673469387754</v>
      </c>
      <c r="F55" s="70">
        <f t="shared" si="7"/>
        <v>1.3126171979641039</v>
      </c>
      <c r="G55" s="69">
        <v>1450</v>
      </c>
      <c r="H55" s="69"/>
    </row>
    <row r="56" spans="2:8">
      <c r="B56" s="69" t="s">
        <v>11</v>
      </c>
      <c r="C56" s="69">
        <v>365</v>
      </c>
      <c r="D56" s="70">
        <v>0.49</v>
      </c>
      <c r="E56" s="70">
        <f xml:space="preserve"> C56*0.001/D56</f>
        <v>0.74489795918367352</v>
      </c>
      <c r="F56" s="70">
        <f t="shared" si="7"/>
        <v>1.093018068257863</v>
      </c>
      <c r="G56" s="69">
        <v>1450</v>
      </c>
      <c r="H56" s="69"/>
    </row>
    <row r="57" spans="2:8">
      <c r="B57" s="69" t="s">
        <v>9</v>
      </c>
      <c r="C57" s="69">
        <v>245</v>
      </c>
      <c r="D57" s="70">
        <v>0.33500000000000002</v>
      </c>
      <c r="E57" s="70">
        <f xml:space="preserve"> C57*0.001/D57</f>
        <v>0.73134328358208944</v>
      </c>
      <c r="F57" s="70">
        <f t="shared" si="7"/>
        <v>1.1094552078158637</v>
      </c>
      <c r="G57" s="69">
        <v>1000</v>
      </c>
      <c r="H57" s="69"/>
    </row>
    <row r="58" spans="2:8">
      <c r="B58" s="69" t="s">
        <v>11</v>
      </c>
      <c r="C58" s="69">
        <v>365</v>
      </c>
      <c r="D58" s="70">
        <v>0.33500000000000002</v>
      </c>
      <c r="E58" s="70">
        <f xml:space="preserve"> C58*0.001/D58</f>
        <v>1.08955223880597</v>
      </c>
      <c r="F58" s="70">
        <f t="shared" si="7"/>
        <v>0.79393293044199564</v>
      </c>
      <c r="G58" s="69">
        <v>1000</v>
      </c>
      <c r="H58" s="69"/>
    </row>
  </sheetData>
  <phoneticPr fontId="0" type="noConversion"/>
  <printOptions horizontalCentered="1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  <customProperties>
    <customPr name="_pios_id" r:id="rId2"/>
  </customProperties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6</vt:i4>
      </vt:variant>
    </vt:vector>
  </HeadingPairs>
  <TitlesOfParts>
    <vt:vector size="8" baseType="lpstr">
      <vt:lpstr>kalkulačka</vt:lpstr>
      <vt:lpstr>materiály</vt:lpstr>
      <vt:lpstr>izolant</vt:lpstr>
      <vt:lpstr>izolanty</vt:lpstr>
      <vt:lpstr>materiál</vt:lpstr>
      <vt:lpstr>materiály</vt:lpstr>
      <vt:lpstr>kalkulačka!Print_Area</vt:lpstr>
      <vt:lpstr>typkonstrukce</vt:lpstr>
    </vt:vector>
  </TitlesOfParts>
  <Company>Rockwool a.s.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Zdeněk Kobza + Martin Matějka</dc:creator>
  <cp:lastModifiedBy>Martin Matějka</cp:lastModifiedBy>
  <cp:lastPrinted>2011-11-28T09:59:18Z</cp:lastPrinted>
  <dcterms:created xsi:type="dcterms:W3CDTF">2002-10-17T07:07:04Z</dcterms:created>
  <dcterms:modified xsi:type="dcterms:W3CDTF">2019-10-22T07:44:04Z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ustomUiType">
    <vt:lpwstr>2</vt:lpwstr>
  </property>
</Properties>
</file>